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puts &amp; Assumptions" sheetId="1" state="visible" r:id="rId3"/>
    <sheet name="Amortisation Schedule" sheetId="2" state="visible" r:id="rId4"/>
    <sheet name="ROU Asset Depreciation" sheetId="3" state="visible" r:id="rId5"/>
    <sheet name="P&amp;L &amp; Balance Sheet Impact" sheetId="4" state="visible" r:id="rId6"/>
    <sheet name="Journal Entries" sheetId="5" state="visible" r:id="rId7"/>
    <sheet name="How to Use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<sst xmlns="http://schemas.openxmlformats.org/spreadsheetml/2006/main" count="145" uniqueCount="125">
  <si>
    <t xml:space="preserve">IFRS 16 LEASE CALCULATION — WORKED EXAMPLE</t>
  </si>
  <si>
    <t xml:space="preserve">ifrs16calculator.online  |  Free Download  |  For educational purposes</t>
  </si>
  <si>
    <t xml:space="preserve">LEASE DETAILS — USER INPUTS</t>
  </si>
  <si>
    <t xml:space="preserve">INITIAL RECOGNITION — CALCULATED</t>
  </si>
  <si>
    <t xml:space="preserve">Lessee Name</t>
  </si>
  <si>
    <t xml:space="preserve">ABC Manufacturing Ltd</t>
  </si>
  <si>
    <t xml:space="preserve">Periodic IBR (monthly)</t>
  </si>
  <si>
    <t xml:space="preserve">Lessor Name</t>
  </si>
  <si>
    <t xml:space="preserve">XYZ Asset Finance plc</t>
  </si>
  <si>
    <t xml:space="preserve">Number of Payments</t>
  </si>
  <si>
    <t xml:space="preserve">Asset Description</t>
  </si>
  <si>
    <t xml:space="preserve">Industrial Machinery</t>
  </si>
  <si>
    <t xml:space="preserve">Payment Timing (1=advance)</t>
  </si>
  <si>
    <t xml:space="preserve">Commencement Date</t>
  </si>
  <si>
    <t xml:space="preserve">2024-01-01</t>
  </si>
  <si>
    <t xml:space="preserve">Lease Term (months)</t>
  </si>
  <si>
    <t xml:space="preserve">Present Value of Lease Pmts</t>
  </si>
  <si>
    <t xml:space="preserve">Payment Frequency</t>
  </si>
  <si>
    <t xml:space="preserve">Monthly</t>
  </si>
  <si>
    <t xml:space="preserve">Right-of-Use Asset</t>
  </si>
  <si>
    <t xml:space="preserve">Lease Payment (per period)</t>
  </si>
  <si>
    <t xml:space="preserve">Lease Liability</t>
  </si>
  <si>
    <t xml:space="preserve">Payments in Advance?</t>
  </si>
  <si>
    <t xml:space="preserve">Yes</t>
  </si>
  <si>
    <t xml:space="preserve">Incremental Borrowing Rate</t>
  </si>
  <si>
    <t xml:space="preserve">Total Undiscounted Payments</t>
  </si>
  <si>
    <t xml:space="preserve">Currency</t>
  </si>
  <si>
    <t xml:space="preserve">USD</t>
  </si>
  <si>
    <t xml:space="preserve">Total Finance Charges</t>
  </si>
  <si>
    <t xml:space="preserve">► Yellow cells = user inputs (change these).  All other cells calculate automatically.</t>
  </si>
  <si>
    <t xml:space="preserve">IFRS 16 KEY RECOGNITION PRINCIPLES</t>
  </si>
  <si>
    <t xml:space="preserve">1.  Lessee recognises a Right-of-Use (ROU) asset and a lease liability at the commencement date.</t>
  </si>
  <si>
    <t xml:space="preserve">2.  Lease liability = PV of unpaid lease payments, discounted at the rate implicit in the lease or, if not determinable, the lessee's incremental borrowing rate (IBR).</t>
  </si>
  <si>
    <t xml:space="preserve">3.  ROU asset initially measured at cost: lease liability + initial direct costs + prepaid payments − lease incentives.</t>
  </si>
  <si>
    <t xml:space="preserve">4.  ROU asset depreciated over the shorter of the lease term and the asset's useful life (usually straight-line).</t>
  </si>
  <si>
    <t xml:space="preserve">5.  Lease liability unwound using the effective interest method: Interest = Opening Liability × Periodic Rate.</t>
  </si>
  <si>
    <t xml:space="preserve">6.  Short-term (≤12 months) and low-value asset leases may use the straight-line expense practical expedient.</t>
  </si>
  <si>
    <t xml:space="preserve">IFRS 16 — LEASE LIABILITY AMORTISATION SCHEDULE</t>
  </si>
  <si>
    <t xml:space="preserve">SCHEDULE INPUTS (auto-linked from Inputs &amp; Assumptions)</t>
  </si>
  <si>
    <t xml:space="preserve">Initial Lease Liability</t>
  </si>
  <si>
    <t xml:space="preserve">Period</t>
  </si>
  <si>
    <t xml:space="preserve">Date</t>
  </si>
  <si>
    <t xml:space="preserve">Opening
Liability</t>
  </si>
  <si>
    <t xml:space="preserve">Lease
Payment</t>
  </si>
  <si>
    <t xml:space="preserve">Finance
Charge</t>
  </si>
  <si>
    <t xml:space="preserve">Principal
Repaid</t>
  </si>
  <si>
    <t xml:space="preserve">Closing
Liability</t>
  </si>
  <si>
    <t xml:space="preserve">#</t>
  </si>
  <si>
    <t xml:space="preserve">DD-MMM-YYYY</t>
  </si>
  <si>
    <t xml:space="preserve">($)</t>
  </si>
  <si>
    <t xml:space="preserve">0  Initial Recognition</t>
  </si>
  <si>
    <t xml:space="preserve">TOTALS</t>
  </si>
  <si>
    <t xml:space="preserve">IFRS 16 — RIGHT-OF-USE ASSET DEPRECIATION SCHEDULE</t>
  </si>
  <si>
    <t xml:space="preserve">ROU ASSET ASSUMPTIONS</t>
  </si>
  <si>
    <t xml:space="preserve">Initial ROU Asset (Cost)</t>
  </si>
  <si>
    <t xml:space="preserve">Useful Life (months)</t>
  </si>
  <si>
    <t xml:space="preserve">Residual Value</t>
  </si>
  <si>
    <t xml:space="preserve">Depreciation Method</t>
  </si>
  <si>
    <t xml:space="preserve">Straight-Line</t>
  </si>
  <si>
    <t xml:space="preserve">Monthly Depreciation</t>
  </si>
  <si>
    <t xml:space="preserve">Opening
Carrying Amt</t>
  </si>
  <si>
    <t xml:space="preserve">Depreciation
Charge</t>
  </si>
  <si>
    <t xml:space="preserve">Impairment /
Other</t>
  </si>
  <si>
    <t xml:space="preserve">Closing
Carrying Amt</t>
  </si>
  <si>
    <t xml:space="preserve">IFRS 16 — ANNUAL P&amp;L &amp; BALANCE SHEET IMPACT SUMMARY</t>
  </si>
  <si>
    <t xml:space="preserve">Line Item</t>
  </si>
  <si>
    <t xml:space="preserve">Year 1</t>
  </si>
  <si>
    <t xml:space="preserve">Year 2</t>
  </si>
  <si>
    <t xml:space="preserve">Year 3</t>
  </si>
  <si>
    <t xml:space="preserve">Year 4</t>
  </si>
  <si>
    <t xml:space="preserve">Year 5</t>
  </si>
  <si>
    <t xml:space="preserve">TOTAL</t>
  </si>
  <si>
    <t xml:space="preserve">INCOME STATEMENT IMPACT</t>
  </si>
  <si>
    <t xml:space="preserve">Depreciation of ROU Asset</t>
  </si>
  <si>
    <t xml:space="preserve">Finance Charge (Interest Expense)</t>
  </si>
  <si>
    <t xml:space="preserve">Total IFRS 16 P&amp;L Charge</t>
  </si>
  <si>
    <t xml:space="preserve">Memo: Op-lease expense under old GAAP (IAS 17)</t>
  </si>
  <si>
    <t xml:space="preserve">BALANCE SHEET (CLOSING POSITION AT EACH YEAR END)</t>
  </si>
  <si>
    <t xml:space="preserve">ROU Asset — Net Book Value (closing)</t>
  </si>
  <si>
    <t xml:space="preserve">Lease Liability — Total (closing)</t>
  </si>
  <si>
    <t xml:space="preserve">  Current portion (next 12 months)</t>
  </si>
  <si>
    <t xml:space="preserve">  Non-current portion (&gt;12 months)</t>
  </si>
  <si>
    <t xml:space="preserve">IFRS 16 — ILLUSTRATIVE JOURNAL ENTRIES</t>
  </si>
  <si>
    <t xml:space="preserve">Ref</t>
  </si>
  <si>
    <t xml:space="preserve">Account / Narrative</t>
  </si>
  <si>
    <t xml:space="preserve">Debit ($)</t>
  </si>
  <si>
    <t xml:space="preserve">Credit ($)</t>
  </si>
  <si>
    <t xml:space="preserve">JE1</t>
  </si>
  <si>
    <t xml:space="preserve">COMMENCEMENT DATE — Initial Recognition</t>
  </si>
  <si>
    <t xml:space="preserve">Dr  Right-of-Use Asset</t>
  </si>
  <si>
    <t xml:space="preserve">    Cr  Lease Liability</t>
  </si>
  <si>
    <t xml:space="preserve">Being initial recognition of lease under IFRS 16 para. 22</t>
  </si>
  <si>
    <t xml:space="preserve">JE2</t>
  </si>
  <si>
    <t xml:space="preserve">MONTHLY (advance) — Period 1: Lease Payment</t>
  </si>
  <si>
    <t xml:space="preserve">Dr  Lease Liability</t>
  </si>
  <si>
    <t xml:space="preserve">    Cr  Cash / Bank</t>
  </si>
  <si>
    <t xml:space="preserve">Being lease payment made in advance — Period 1</t>
  </si>
  <si>
    <t xml:space="preserve">JE3</t>
  </si>
  <si>
    <t xml:space="preserve">MONTHLY — Period 1: Finance Charge Accrual</t>
  </si>
  <si>
    <t xml:space="preserve">Dr  Finance Charge — P&amp;L</t>
  </si>
  <si>
    <t xml:space="preserve">Being unwinding of discount on lease liability (effective interest method)</t>
  </si>
  <si>
    <t xml:space="preserve">JE4</t>
  </si>
  <si>
    <t xml:space="preserve">MONTHLY — Period 1: ROU Asset Depreciation</t>
  </si>
  <si>
    <t xml:space="preserve">Dr  Depreciation Expense — P&amp;L</t>
  </si>
  <si>
    <t xml:space="preserve">    Cr  Accumulated Depreciation — ROU Asset</t>
  </si>
  <si>
    <t xml:space="preserve">Being monthly straight-line depreciation of ROU asset</t>
  </si>
  <si>
    <t xml:space="preserve">HOW TO USE THIS IFRS 16 LEASE CALCULATOR</t>
  </si>
  <si>
    <t xml:space="preserve">STEP 1 — Enter Your Lease Terms</t>
  </si>
  <si>
    <t xml:space="preserve">Go to the 'Inputs &amp; Assumptions' tab and fill in the YELLOW cells: commencement date, lease term (months), payment amount, whether payments are in advance, and your incremental borrowing rate (IBR).</t>
  </si>
  <si>
    <t xml:space="preserve">STEP 2 — Check Initial Recognition</t>
  </si>
  <si>
    <t xml:space="preserve">The right-hand panel of the Inputs sheet auto-calculates: present value of payments (= initial lease liability), the ROU asset, total undiscounted payments, and total finance charges.</t>
  </si>
  <si>
    <t xml:space="preserve">STEP 3 — Review the Amortisation Schedule</t>
  </si>
  <si>
    <t xml:space="preserve">The 'Amortisation Schedule' tab shows the month-by-month breakdown: opening liability, lease payment, finance charge (interest via effective interest method), principal repaid, and closing liability for all 60 periods.</t>
  </si>
  <si>
    <t xml:space="preserve">STEP 4 — Review ROU Asset Depreciation</t>
  </si>
  <si>
    <t xml:space="preserve">The 'ROU Asset Depreciation' tab shows straight-line depreciation across the lease term. You can add impairment/adjustments manually in column F if needed.</t>
  </si>
  <si>
    <t xml:space="preserve">STEP 5 — Annual P&amp;L &amp; Balance Sheet Summary</t>
  </si>
  <si>
    <t xml:space="preserve">The 'P&amp;L &amp; Balance Sheet Impact' tab aggregates monthly figures by year, showing: annual depreciation, annual interest charge, year-end ROU asset NBV, and lease liability split into current and non-current portions.</t>
  </si>
  <si>
    <t xml:space="preserve">STEP 6 — Journal Entries</t>
  </si>
  <si>
    <t xml:space="preserve">The 'Journal Entries' tab provides illustrative double-entry bookkeeping for initial recognition and monthly accounting entries, with live values linked to the schedules.</t>
  </si>
  <si>
    <t xml:space="preserve">IMPORTANT NOTES &amp; LIMITATIONS</t>
  </si>
  <si>
    <t xml:space="preserve">• This model assumes a fixed-rate, fixed-term lease with no variable payments.</t>
  </si>
  <si>
    <t xml:space="preserve">• Lease modifications, renewals, and reassessments require additional IFRS 16 analysis.</t>
  </si>
  <si>
    <t xml:space="preserve">• Variable lease payments (not included in the liability) should be expensed as incurred.</t>
  </si>
  <si>
    <t xml:space="preserve">• This template is for educational purposes only — always consult a qualified accountant.</t>
  </si>
  <si>
    <t xml:space="preserve">© ifrs16calculator.online — Free Download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</si>
</sst>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0.00%"/>
    <numFmt numFmtId="167" formatCode="#,##0"/>
    <numFmt numFmtId="168" formatCode="dd\-mmm\-yyyy"/>
    <numFmt numFmtId="169" formatCode="#,##0.00"/>
  </numFmts>
  <fonts count="2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7"/>
      <color rgb="FFFFFFFF"/>
      <name val="Arial"/>
      <family val="0"/>
      <charset val="1"/>
    </font>
    <font>
      <i val="true"/>
      <sz val="9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404040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i val="true"/>
      <sz val="9"/>
      <color rgb="FF2E5FA3"/>
      <name val="Arial"/>
      <family val="0"/>
      <charset val="1"/>
    </font>
    <font>
      <sz val="9"/>
      <color rgb="FF404040"/>
      <name val="Arial"/>
      <family val="0"/>
      <charset val="1"/>
    </font>
    <font>
      <b val="true"/>
      <sz val="15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8"/>
      <color rgb="FFFFFFFF"/>
      <name val="Arial"/>
      <family val="0"/>
      <charset val="1"/>
    </font>
    <font>
      <b val="true"/>
      <sz val="9"/>
      <color rgb="FF404040"/>
      <name val="Arial"/>
      <family val="0"/>
      <charset val="1"/>
    </font>
    <font>
      <sz val="9"/>
      <color rgb="FF000000"/>
      <name val="Arial"/>
      <family val="0"/>
      <charset val="1"/>
    </font>
    <font>
      <sz val="9"/>
      <color rgb="FF0000FF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404040"/>
      <name val="Arial"/>
      <family val="0"/>
      <charset val="1"/>
    </font>
    <font>
      <sz val="10"/>
      <color rgb="FF808080"/>
      <name val="Arial"/>
      <family val="0"/>
      <charset val="1"/>
    </font>
    <font>
      <b val="true"/>
      <sz val="10"/>
      <color rgb="FF808080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C55A11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F3864"/>
        <bgColor rgb="FF333399"/>
      </patternFill>
    </fill>
    <fill>
      <patternFill patternType="solid">
        <fgColor rgb="FF2E5FA3"/>
        <bgColor rgb="FF4472C4"/>
      </patternFill>
    </fill>
    <fill>
      <patternFill patternType="solid">
        <fgColor rgb="FF4472C4"/>
        <bgColor rgb="FF2E5FA3"/>
      </patternFill>
    </fill>
    <fill>
      <patternFill patternType="solid">
        <fgColor rgb="FFFFF2CC"/>
        <bgColor rgb="FFF2F2F2"/>
      </patternFill>
    </fill>
    <fill>
      <patternFill patternType="solid">
        <fgColor rgb="FFD6E4F0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/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5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8" fillId="5" borderId="2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7" fontId="8" fillId="5" borderId="2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9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5" borderId="2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6" fontId="8" fillId="5" borderId="2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1" fillId="8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1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5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5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5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6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7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8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6" fillId="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9" fontId="19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9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0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9" fontId="21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2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5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8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8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7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25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26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F2F2F2"/>
      <rgbColor rgb="FF660066"/>
      <rgbColor rgb="FFFF8080"/>
      <rgbColor rgb="FF2E5FA3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ED7D31"/>
      <rgbColor rgb="FF666699"/>
      <rgbColor rgb="FF70AD47"/>
      <rgbColor rgb="FF1F3864"/>
      <rgbColor rgb="FF339966"/>
      <rgbColor rgb="FF003300"/>
      <rgbColor rgb="FF333300"/>
      <rgbColor rgb="FFC55A11"/>
      <rgbColor rgb="FF993366"/>
      <rgbColor rgb="FF333399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3864"/>
    <pageSetUpPr fitToPage="false"/>
  </sheetPr>
  <dimension ref="B1:H4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0"/>
    <col collapsed="false" customWidth="true" hidden="false" outlineLevel="0" max="3" min="3" style="0" width="24"/>
    <col collapsed="false" customWidth="true" hidden="false" outlineLevel="0" max="4" min="4" style="0" width="18"/>
    <col collapsed="false" customWidth="true" hidden="false" outlineLevel="0" max="5" min="5" style="0" width="4"/>
    <col collapsed="false" customWidth="true" hidden="false" outlineLevel="0" max="6" min="6" style="0" width="30"/>
    <col collapsed="false" customWidth="true" hidden="false" outlineLevel="0" max="7" min="7" style="0" width="22"/>
    <col collapsed="false" customWidth="true" hidden="false" outlineLevel="0" max="8" min="8" style="0" width="4"/>
  </cols>
  <sheetData>
    <row r="1" customFormat="false" ht="49.5" hidden="false" customHeight="true" outlineLevel="0" collapsed="false">
      <c r="B1" s="1" t="s">
        <v>0</v>
      </c>
      <c r="C1" s="1"/>
      <c r="D1" s="1"/>
      <c r="E1" s="1"/>
      <c r="F1" s="1"/>
      <c r="G1" s="1"/>
    </row>
    <row r="2" customFormat="false" ht="18" hidden="false" customHeight="true" outlineLevel="0" collapsed="false">
      <c r="B2" s="2" t="s">
        <v>1</v>
      </c>
      <c r="C2" s="2"/>
      <c r="D2" s="2"/>
      <c r="E2" s="2"/>
      <c r="F2" s="2"/>
      <c r="G2" s="2"/>
    </row>
    <row r="3" customFormat="false" ht="9.75" hidden="false" customHeight="true" outlineLevel="0" collapsed="false"/>
    <row r="4" customFormat="false" ht="18" hidden="false" customHeight="true" outlineLevel="0" collapsed="false">
      <c r="B4" s="3" t="s">
        <v>2</v>
      </c>
      <c r="C4" s="3"/>
      <c r="D4" s="3"/>
      <c r="F4" s="4" t="s">
        <v>3</v>
      </c>
      <c r="G4" s="4"/>
    </row>
    <row r="5" customFormat="false" ht="18" hidden="false" customHeight="true" outlineLevel="0" collapsed="false">
      <c r="B5" s="5" t="s">
        <v>4</v>
      </c>
      <c r="C5" s="6" t="s">
        <v>5</v>
      </c>
      <c r="D5" s="7"/>
      <c r="F5" s="5" t="s">
        <v>6</v>
      </c>
      <c r="G5" s="8" t="n">
        <f aca="false">C13/12</f>
        <v>0.005</v>
      </c>
      <c r="H5" s="7"/>
    </row>
    <row r="6" customFormat="false" ht="18" hidden="false" customHeight="true" outlineLevel="0" collapsed="false">
      <c r="B6" s="5" t="s">
        <v>7</v>
      </c>
      <c r="C6" s="6" t="s">
        <v>8</v>
      </c>
      <c r="D6" s="7"/>
      <c r="F6" s="5" t="s">
        <v>9</v>
      </c>
      <c r="G6" s="9" t="n">
        <f aca="false">C9</f>
        <v>60</v>
      </c>
      <c r="H6" s="7"/>
    </row>
    <row r="7" customFormat="false" ht="18" hidden="false" customHeight="true" outlineLevel="0" collapsed="false">
      <c r="B7" s="5" t="s">
        <v>10</v>
      </c>
      <c r="C7" s="6" t="s">
        <v>11</v>
      </c>
      <c r="D7" s="7"/>
      <c r="F7" s="5" t="s">
        <v>12</v>
      </c>
      <c r="G7" s="9" t="n">
        <f aca="false">IF(C12="Yes",1,0)</f>
        <v>1</v>
      </c>
      <c r="H7" s="7"/>
    </row>
    <row r="8" customFormat="false" ht="18" hidden="false" customHeight="true" outlineLevel="0" collapsed="false">
      <c r="B8" s="5" t="s">
        <v>13</v>
      </c>
      <c r="C8" s="10" t="s">
        <v>14</v>
      </c>
      <c r="D8" s="7"/>
      <c r="F8" s="7"/>
      <c r="G8" s="7"/>
      <c r="H8" s="7"/>
    </row>
    <row r="9" customFormat="false" ht="18" hidden="false" customHeight="true" outlineLevel="0" collapsed="false">
      <c r="B9" s="5" t="s">
        <v>15</v>
      </c>
      <c r="C9" s="11" t="n">
        <v>60</v>
      </c>
      <c r="D9" s="7"/>
      <c r="F9" s="5" t="s">
        <v>16</v>
      </c>
      <c r="G9" s="12" t="n">
        <f aca="false">IF(C12="Yes",C11*((1-(1+G5)^(-G6))/G5)*(1+G5),C11*((1-(1+G5)^(-G6))/G5))</f>
        <v>259920.942774433</v>
      </c>
      <c r="H9" s="7"/>
    </row>
    <row r="10" customFormat="false" ht="18" hidden="false" customHeight="true" outlineLevel="0" collapsed="false">
      <c r="B10" s="5" t="s">
        <v>17</v>
      </c>
      <c r="C10" s="6" t="s">
        <v>18</v>
      </c>
      <c r="D10" s="7"/>
      <c r="F10" s="5" t="s">
        <v>19</v>
      </c>
      <c r="G10" s="12" t="n">
        <f aca="false">G9</f>
        <v>259920.942774433</v>
      </c>
      <c r="H10" s="7"/>
    </row>
    <row r="11" customFormat="false" ht="18" hidden="false" customHeight="true" outlineLevel="0" collapsed="false">
      <c r="B11" s="5" t="s">
        <v>20</v>
      </c>
      <c r="C11" s="13" t="n">
        <v>5000</v>
      </c>
      <c r="D11" s="7"/>
      <c r="F11" s="5" t="s">
        <v>21</v>
      </c>
      <c r="G11" s="12" t="n">
        <f aca="false">G9</f>
        <v>259920.942774433</v>
      </c>
      <c r="H11" s="7"/>
    </row>
    <row r="12" customFormat="false" ht="18" hidden="false" customHeight="true" outlineLevel="0" collapsed="false">
      <c r="B12" s="5" t="s">
        <v>22</v>
      </c>
      <c r="C12" s="6" t="s">
        <v>23</v>
      </c>
      <c r="D12" s="7"/>
      <c r="F12" s="7"/>
      <c r="G12" s="7"/>
      <c r="H12" s="7"/>
    </row>
    <row r="13" customFormat="false" ht="18" hidden="false" customHeight="true" outlineLevel="0" collapsed="false">
      <c r="B13" s="5" t="s">
        <v>24</v>
      </c>
      <c r="C13" s="14" t="n">
        <v>0.06</v>
      </c>
      <c r="D13" s="7"/>
      <c r="F13" s="5" t="s">
        <v>25</v>
      </c>
      <c r="G13" s="12" t="n">
        <f aca="false">C11*C9</f>
        <v>300000</v>
      </c>
      <c r="H13" s="7"/>
    </row>
    <row r="14" customFormat="false" ht="18" hidden="false" customHeight="true" outlineLevel="0" collapsed="false">
      <c r="B14" s="5" t="s">
        <v>26</v>
      </c>
      <c r="C14" s="6" t="s">
        <v>27</v>
      </c>
      <c r="D14" s="7"/>
      <c r="F14" s="5" t="s">
        <v>28</v>
      </c>
      <c r="G14" s="12" t="n">
        <f aca="false">G13-G9</f>
        <v>40079.0572255669</v>
      </c>
      <c r="H14" s="7"/>
    </row>
    <row r="15" customFormat="false" ht="18" hidden="false" customHeight="true" outlineLevel="0" collapsed="false"/>
    <row r="16" customFormat="false" ht="18" hidden="false" customHeight="true" outlineLevel="0" collapsed="false">
      <c r="B16" s="15" t="s">
        <v>29</v>
      </c>
      <c r="C16" s="15"/>
      <c r="D16" s="15"/>
      <c r="E16" s="15"/>
      <c r="F16" s="15"/>
      <c r="G16" s="15"/>
    </row>
    <row r="17" customFormat="false" ht="18" hidden="false" customHeight="true" outlineLevel="0" collapsed="false"/>
    <row r="18" customFormat="false" ht="18" hidden="false" customHeight="true" outlineLevel="0" collapsed="false">
      <c r="B18" s="16" t="s">
        <v>30</v>
      </c>
      <c r="C18" s="16"/>
      <c r="D18" s="16"/>
      <c r="E18" s="16"/>
      <c r="F18" s="16"/>
      <c r="G18" s="16"/>
    </row>
    <row r="19" customFormat="false" ht="19.5" hidden="false" customHeight="true" outlineLevel="0" collapsed="false">
      <c r="B19" s="17" t="s">
        <v>31</v>
      </c>
      <c r="C19" s="17"/>
      <c r="D19" s="17"/>
      <c r="E19" s="17"/>
      <c r="F19" s="17"/>
      <c r="G19" s="17"/>
    </row>
    <row r="20" customFormat="false" ht="19.5" hidden="false" customHeight="true" outlineLevel="0" collapsed="false">
      <c r="B20" s="18" t="s">
        <v>32</v>
      </c>
      <c r="C20" s="18"/>
      <c r="D20" s="18"/>
      <c r="E20" s="18"/>
      <c r="F20" s="18"/>
      <c r="G20" s="18"/>
    </row>
    <row r="21" customFormat="false" ht="19.5" hidden="false" customHeight="true" outlineLevel="0" collapsed="false">
      <c r="B21" s="17" t="s">
        <v>33</v>
      </c>
      <c r="C21" s="17"/>
      <c r="D21" s="17"/>
      <c r="E21" s="17"/>
      <c r="F21" s="17"/>
      <c r="G21" s="17"/>
    </row>
    <row r="22" customFormat="false" ht="19.5" hidden="false" customHeight="true" outlineLevel="0" collapsed="false">
      <c r="B22" s="18" t="s">
        <v>34</v>
      </c>
      <c r="C22" s="18"/>
      <c r="D22" s="18"/>
      <c r="E22" s="18"/>
      <c r="F22" s="18"/>
      <c r="G22" s="18"/>
    </row>
    <row r="23" customFormat="false" ht="19.5" hidden="false" customHeight="true" outlineLevel="0" collapsed="false">
      <c r="B23" s="17" t="s">
        <v>35</v>
      </c>
      <c r="C23" s="17"/>
      <c r="D23" s="17"/>
      <c r="E23" s="17"/>
      <c r="F23" s="17"/>
      <c r="G23" s="17"/>
    </row>
    <row r="24" customFormat="false" ht="19.5" hidden="false" customHeight="true" outlineLevel="0" collapsed="false">
      <c r="B24" s="18" t="s">
        <v>36</v>
      </c>
      <c r="C24" s="18"/>
      <c r="D24" s="18"/>
      <c r="E24" s="18"/>
      <c r="F24" s="18"/>
      <c r="G24" s="18"/>
    </row>
    <row r="25" customFormat="false" ht="18" hidden="false" customHeight="true" outlineLevel="0" collapsed="false"/>
    <row r="26" customFormat="false" ht="18" hidden="false" customHeight="true" outlineLevel="0" collapsed="false"/>
    <row r="27" customFormat="false" ht="18" hidden="false" customHeight="true" outlineLevel="0" collapsed="false"/>
    <row r="28" customFormat="false" ht="18" hidden="false" customHeight="true" outlineLevel="0" collapsed="false"/>
    <row r="29" customFormat="false" ht="18" hidden="false" customHeight="true" outlineLevel="0" collapsed="false"/>
    <row r="30" customFormat="false" ht="18" hidden="false" customHeight="true" outlineLevel="0" collapsed="false"/>
    <row r="31" customFormat="false" ht="18" hidden="false" customHeight="true" outlineLevel="0" collapsed="false"/>
    <row r="32" customFormat="false" ht="18" hidden="false" customHeight="true" outlineLevel="0" collapsed="false"/>
    <row r="33" customFormat="false" ht="18" hidden="false" customHeight="true" outlineLevel="0" collapsed="false"/>
    <row r="34" customFormat="false" ht="18" hidden="false" customHeight="true" outlineLevel="0" collapsed="false"/>
    <row r="35" customFormat="false" ht="18" hidden="false" customHeight="true" outlineLevel="0" collapsed="false"/>
    <row r="36" customFormat="false" ht="18" hidden="false" customHeight="true" outlineLevel="0" collapsed="false"/>
    <row r="37" customFormat="false" ht="18" hidden="false" customHeight="true" outlineLevel="0" collapsed="false"/>
    <row r="38" customFormat="false" ht="18" hidden="false" customHeight="true" outlineLevel="0" collapsed="false"/>
    <row r="39" customFormat="false" ht="18" hidden="false" customHeight="true" outlineLevel="0" collapsed="false"/>
    <row r="40" customFormat="false" ht="18" hidden="false" customHeight="true" outlineLevel="0" collapsed="false"/>
    <row r="41" customFormat="false" ht="18" hidden="false" customHeight="true" outlineLevel="0" collapsed="false"/>
    <row r="42" customFormat="false" ht="18" hidden="false" customHeight="true" outlineLevel="0" collapsed="false"/>
    <row r="43" customFormat="false" ht="18" hidden="false" customHeight="true" outlineLevel="0" collapsed="false"/>
    <row r="44" customFormat="false" ht="18" hidden="false" customHeight="true" outlineLevel="0" collapsed="false"/>
    <row r="45" customFormat="false" ht="18" hidden="false" customHeight="true" outlineLevel="0" collapsed="false"/>
    <row r="46" customFormat="false" ht="18" hidden="false" customHeight="true" outlineLevel="0" collapsed="false"/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</sheetData>
  <mergeCells count="12">
    <mergeCell ref="B1:G1"/>
    <mergeCell ref="B2:G2"/>
    <mergeCell ref="B4:D4"/>
    <mergeCell ref="F4:G4"/>
    <mergeCell ref="B16:G16"/>
    <mergeCell ref="B18:G18"/>
    <mergeCell ref="B19:G19"/>
    <mergeCell ref="B20:G20"/>
    <mergeCell ref="B21:G21"/>
    <mergeCell ref="B22:G22"/>
    <mergeCell ref="B23:G23"/>
    <mergeCell ref="B24:G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5FA3"/>
    <pageSetUpPr fitToPage="false"/>
  </sheetPr>
  <dimension ref="B1:H7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3" topLeftCell="B14" activePane="bottomRight" state="frozen"/>
      <selection pane="topLeft" activeCell="A1" activeCellId="0" sqref="A1"/>
      <selection pane="topRight" activeCell="B1" activeCellId="0" sqref="B1"/>
      <selection pane="bottomLeft" activeCell="A14" activeCellId="0" sqref="A1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8"/>
    <col collapsed="false" customWidth="true" hidden="false" outlineLevel="0" max="3" min="3" style="0" width="16"/>
    <col collapsed="false" customWidth="true" hidden="false" outlineLevel="0" max="8" min="4" style="0" width="22"/>
    <col collapsed="false" customWidth="true" hidden="false" outlineLevel="0" max="9" min="9" style="0" width="2"/>
  </cols>
  <sheetData>
    <row r="1" customFormat="false" ht="45" hidden="false" customHeight="true" outlineLevel="0" collapsed="false">
      <c r="B1" s="19" t="s">
        <v>37</v>
      </c>
      <c r="C1" s="19"/>
      <c r="D1" s="19"/>
      <c r="E1" s="19"/>
      <c r="F1" s="19"/>
      <c r="G1" s="19"/>
      <c r="H1" s="19"/>
    </row>
    <row r="2" customFormat="false" ht="12" hidden="false" customHeight="true" outlineLevel="0" collapsed="false">
      <c r="B2" s="20"/>
      <c r="C2" s="20"/>
      <c r="D2" s="20"/>
      <c r="E2" s="20"/>
      <c r="F2" s="20"/>
      <c r="G2" s="20"/>
      <c r="H2" s="20"/>
    </row>
    <row r="3" customFormat="false" ht="16.5" hidden="false" customHeight="true" outlineLevel="0" collapsed="false">
      <c r="B3" s="21" t="s">
        <v>38</v>
      </c>
      <c r="C3" s="21"/>
      <c r="D3" s="21"/>
      <c r="E3" s="21"/>
      <c r="F3" s="21"/>
      <c r="G3" s="21"/>
      <c r="H3" s="21"/>
    </row>
    <row r="4" customFormat="false" ht="16.5" hidden="false" customHeight="true" outlineLevel="0" collapsed="false">
      <c r="B4" s="5" t="s">
        <v>13</v>
      </c>
      <c r="C4" s="22" t="str">
        <f aca="false">'Inputs &amp; Assumptions'!C8</f>
        <v>2024-01-01</v>
      </c>
      <c r="D4" s="7"/>
      <c r="E4" s="7"/>
      <c r="F4" s="7"/>
      <c r="G4" s="7"/>
      <c r="H4" s="7"/>
    </row>
    <row r="5" customFormat="false" ht="16.5" hidden="false" customHeight="true" outlineLevel="0" collapsed="false">
      <c r="B5" s="5" t="s">
        <v>20</v>
      </c>
      <c r="C5" s="12" t="n">
        <f aca="false">'Inputs &amp; Assumptions'!C11</f>
        <v>5000</v>
      </c>
      <c r="D5" s="7"/>
      <c r="E5" s="7"/>
      <c r="F5" s="7"/>
      <c r="G5" s="7"/>
      <c r="H5" s="7"/>
    </row>
    <row r="6" customFormat="false" ht="16.5" hidden="false" customHeight="true" outlineLevel="0" collapsed="false">
      <c r="B6" s="5" t="s">
        <v>15</v>
      </c>
      <c r="C6" s="9" t="n">
        <f aca="false">'Inputs &amp; Assumptions'!C9</f>
        <v>60</v>
      </c>
      <c r="D6" s="7"/>
      <c r="E6" s="7"/>
      <c r="F6" s="7"/>
      <c r="G6" s="7"/>
      <c r="H6" s="7"/>
    </row>
    <row r="7" customFormat="false" ht="16.5" hidden="false" customHeight="true" outlineLevel="0" collapsed="false">
      <c r="B7" s="5" t="s">
        <v>6</v>
      </c>
      <c r="C7" s="8" t="n">
        <f aca="false">'Inputs &amp; Assumptions'!G5</f>
        <v>0.005</v>
      </c>
      <c r="D7" s="7"/>
      <c r="E7" s="7"/>
      <c r="F7" s="7"/>
      <c r="G7" s="7"/>
      <c r="H7" s="7"/>
    </row>
    <row r="8" customFormat="false" ht="16.5" hidden="false" customHeight="true" outlineLevel="0" collapsed="false">
      <c r="B8" s="5" t="s">
        <v>22</v>
      </c>
      <c r="C8" s="23" t="str">
        <f aca="false">'Inputs &amp; Assumptions'!C12</f>
        <v>Yes</v>
      </c>
      <c r="D8" s="7"/>
      <c r="E8" s="7"/>
      <c r="F8" s="7"/>
      <c r="G8" s="7"/>
      <c r="H8" s="7"/>
    </row>
    <row r="9" customFormat="false" ht="16.5" hidden="false" customHeight="true" outlineLevel="0" collapsed="false">
      <c r="B9" s="5" t="s">
        <v>39</v>
      </c>
      <c r="C9" s="12" t="n">
        <f aca="false">'Inputs &amp; Assumptions'!G9</f>
        <v>259920.942774433</v>
      </c>
      <c r="D9" s="7"/>
      <c r="E9" s="7"/>
      <c r="F9" s="7"/>
      <c r="G9" s="7"/>
      <c r="H9" s="7"/>
    </row>
    <row r="10" customFormat="false" ht="16.5" hidden="false" customHeight="true" outlineLevel="0" collapsed="false"/>
    <row r="11" customFormat="false" ht="27.75" hidden="false" customHeight="true" outlineLevel="0" collapsed="false">
      <c r="B11" s="24" t="s">
        <v>40</v>
      </c>
      <c r="C11" s="24" t="s">
        <v>41</v>
      </c>
      <c r="D11" s="24" t="s">
        <v>42</v>
      </c>
      <c r="E11" s="24" t="s">
        <v>43</v>
      </c>
      <c r="F11" s="24" t="s">
        <v>44</v>
      </c>
      <c r="G11" s="24" t="s">
        <v>45</v>
      </c>
      <c r="H11" s="24" t="s">
        <v>46</v>
      </c>
    </row>
    <row r="12" customFormat="false" ht="13.5" hidden="false" customHeight="true" outlineLevel="0" collapsed="false">
      <c r="B12" s="25" t="s">
        <v>47</v>
      </c>
      <c r="C12" s="25" t="s">
        <v>48</v>
      </c>
      <c r="D12" s="25" t="s">
        <v>49</v>
      </c>
      <c r="E12" s="25" t="s">
        <v>49</v>
      </c>
      <c r="F12" s="25" t="s">
        <v>49</v>
      </c>
      <c r="G12" s="25" t="s">
        <v>49</v>
      </c>
      <c r="H12" s="25" t="s">
        <v>49</v>
      </c>
    </row>
    <row r="13" customFormat="false" ht="18" hidden="false" customHeight="true" outlineLevel="0" collapsed="false">
      <c r="B13" s="26" t="s">
        <v>50</v>
      </c>
      <c r="C13" s="27" t="str">
        <f aca="false">'Inputs &amp; Assumptions'!C8</f>
        <v>2024-01-01</v>
      </c>
      <c r="D13" s="28"/>
      <c r="E13" s="28"/>
      <c r="F13" s="28"/>
      <c r="G13" s="28"/>
      <c r="H13" s="29" t="n">
        <f aca="false">'Inputs &amp; Assumptions'!G9</f>
        <v>259920.942774433</v>
      </c>
    </row>
    <row r="14" customFormat="false" ht="16.5" hidden="false" customHeight="true" outlineLevel="0" collapsed="false">
      <c r="B14" s="30" t="n">
        <v>1</v>
      </c>
      <c r="C14" s="31" t="n">
        <f aca="false">EDATE('Inputs &amp; Assumptions'!C8,1)</f>
        <v>45323</v>
      </c>
      <c r="D14" s="32" t="n">
        <f aca="false">H13</f>
        <v>259920.942774433</v>
      </c>
      <c r="E14" s="33" t="n">
        <f aca="false">IF(1&lt;='Inputs &amp; Assumptions'!C9,'Inputs &amp; Assumptions'!C11,0)</f>
        <v>5000</v>
      </c>
      <c r="F14" s="32" t="n">
        <f aca="false">IF('Inputs &amp; Assumptions'!C12="Yes",MAX(D14-E14,0)*'Inputs &amp; Assumptions'!G5,D14*'Inputs &amp; Assumptions'!G5)</f>
        <v>1274.60471387217</v>
      </c>
      <c r="G14" s="32" t="n">
        <f aca="false">E14-F14</f>
        <v>3725.39528612783</v>
      </c>
      <c r="H14" s="32" t="n">
        <f aca="false">MAX(D14-G14,0)</f>
        <v>256195.547488305</v>
      </c>
    </row>
    <row r="15" customFormat="false" ht="16.5" hidden="false" customHeight="true" outlineLevel="0" collapsed="false">
      <c r="B15" s="34" t="n">
        <v>2</v>
      </c>
      <c r="C15" s="35" t="n">
        <f aca="false">EDATE('Inputs &amp; Assumptions'!C8,2)</f>
        <v>45352</v>
      </c>
      <c r="D15" s="36" t="n">
        <f aca="false">H14</f>
        <v>256195.547488305</v>
      </c>
      <c r="E15" s="37" t="n">
        <f aca="false">IF(2&lt;='Inputs &amp; Assumptions'!C9,'Inputs &amp; Assumptions'!C11,0)</f>
        <v>5000</v>
      </c>
      <c r="F15" s="36" t="n">
        <f aca="false">IF('Inputs &amp; Assumptions'!C12="Yes",MAX(D15-E15,0)*'Inputs &amp; Assumptions'!G5,D15*'Inputs &amp; Assumptions'!G5)</f>
        <v>1255.97773744153</v>
      </c>
      <c r="G15" s="36" t="n">
        <f aca="false">E15-F15</f>
        <v>3744.02226255847</v>
      </c>
      <c r="H15" s="36" t="n">
        <f aca="false">MAX(D15-G15,0)</f>
        <v>252451.525225747</v>
      </c>
    </row>
    <row r="16" customFormat="false" ht="16.5" hidden="false" customHeight="true" outlineLevel="0" collapsed="false">
      <c r="B16" s="30" t="n">
        <v>3</v>
      </c>
      <c r="C16" s="31" t="n">
        <f aca="false">EDATE('Inputs &amp; Assumptions'!C8,3)</f>
        <v>45383</v>
      </c>
      <c r="D16" s="32" t="n">
        <f aca="false">H15</f>
        <v>252451.525225747</v>
      </c>
      <c r="E16" s="33" t="n">
        <f aca="false">IF(3&lt;='Inputs &amp; Assumptions'!C9,'Inputs &amp; Assumptions'!C11,0)</f>
        <v>5000</v>
      </c>
      <c r="F16" s="32" t="n">
        <f aca="false">IF('Inputs &amp; Assumptions'!C12="Yes",MAX(D16-E16,0)*'Inputs &amp; Assumptions'!G5,D16*'Inputs &amp; Assumptions'!G5)</f>
        <v>1237.25762612873</v>
      </c>
      <c r="G16" s="32" t="n">
        <f aca="false">E16-F16</f>
        <v>3762.74237387127</v>
      </c>
      <c r="H16" s="32" t="n">
        <f aca="false">MAX(D16-G16,0)</f>
        <v>248688.782851876</v>
      </c>
    </row>
    <row r="17" customFormat="false" ht="16.5" hidden="false" customHeight="true" outlineLevel="0" collapsed="false">
      <c r="B17" s="34" t="n">
        <v>4</v>
      </c>
      <c r="C17" s="35" t="n">
        <f aca="false">EDATE('Inputs &amp; Assumptions'!C8,4)</f>
        <v>45413</v>
      </c>
      <c r="D17" s="36" t="n">
        <f aca="false">H16</f>
        <v>248688.782851876</v>
      </c>
      <c r="E17" s="37" t="n">
        <f aca="false">IF(4&lt;='Inputs &amp; Assumptions'!C9,'Inputs &amp; Assumptions'!C11,0)</f>
        <v>5000</v>
      </c>
      <c r="F17" s="36" t="n">
        <f aca="false">IF('Inputs &amp; Assumptions'!C12="Yes",MAX(D17-E17,0)*'Inputs &amp; Assumptions'!G5,D17*'Inputs &amp; Assumptions'!G5)</f>
        <v>1218.44391425938</v>
      </c>
      <c r="G17" s="36" t="n">
        <f aca="false">E17-F17</f>
        <v>3781.55608574062</v>
      </c>
      <c r="H17" s="36" t="n">
        <f aca="false">MAX(D17-G17,0)</f>
        <v>244907.226766135</v>
      </c>
    </row>
    <row r="18" customFormat="false" ht="16.5" hidden="false" customHeight="true" outlineLevel="0" collapsed="false">
      <c r="B18" s="30" t="n">
        <v>5</v>
      </c>
      <c r="C18" s="31" t="n">
        <f aca="false">EDATE('Inputs &amp; Assumptions'!C8,5)</f>
        <v>45444</v>
      </c>
      <c r="D18" s="32" t="n">
        <f aca="false">H17</f>
        <v>244907.226766135</v>
      </c>
      <c r="E18" s="33" t="n">
        <f aca="false">IF(5&lt;='Inputs &amp; Assumptions'!C9,'Inputs &amp; Assumptions'!C11,0)</f>
        <v>5000</v>
      </c>
      <c r="F18" s="32" t="n">
        <f aca="false">IF('Inputs &amp; Assumptions'!C12="Yes",MAX(D18-E18,0)*'Inputs &amp; Assumptions'!G5,D18*'Inputs &amp; Assumptions'!G5)</f>
        <v>1199.53613383067</v>
      </c>
      <c r="G18" s="32" t="n">
        <f aca="false">E18-F18</f>
        <v>3800.46386616933</v>
      </c>
      <c r="H18" s="32" t="n">
        <f aca="false">MAX(D18-G18,0)</f>
        <v>241106.762899966</v>
      </c>
    </row>
    <row r="19" customFormat="false" ht="16.5" hidden="false" customHeight="true" outlineLevel="0" collapsed="false">
      <c r="B19" s="34" t="n">
        <v>6</v>
      </c>
      <c r="C19" s="35" t="n">
        <f aca="false">EDATE('Inputs &amp; Assumptions'!C8,6)</f>
        <v>45474</v>
      </c>
      <c r="D19" s="36" t="n">
        <f aca="false">H18</f>
        <v>241106.762899966</v>
      </c>
      <c r="E19" s="37" t="n">
        <f aca="false">IF(6&lt;='Inputs &amp; Assumptions'!C9,'Inputs &amp; Assumptions'!C11,0)</f>
        <v>5000</v>
      </c>
      <c r="F19" s="36" t="n">
        <f aca="false">IF('Inputs &amp; Assumptions'!C12="Yes",MAX(D19-E19,0)*'Inputs &amp; Assumptions'!G5,D19*'Inputs &amp; Assumptions'!G5)</f>
        <v>1180.53381449983</v>
      </c>
      <c r="G19" s="36" t="n">
        <f aca="false">E19-F19</f>
        <v>3819.46618550017</v>
      </c>
      <c r="H19" s="36" t="n">
        <f aca="false">MAX(D19-G19,0)</f>
        <v>237287.296714465</v>
      </c>
    </row>
    <row r="20" customFormat="false" ht="16.5" hidden="false" customHeight="true" outlineLevel="0" collapsed="false">
      <c r="B20" s="30" t="n">
        <v>7</v>
      </c>
      <c r="C20" s="31" t="n">
        <f aca="false">EDATE('Inputs &amp; Assumptions'!C8,7)</f>
        <v>45505</v>
      </c>
      <c r="D20" s="32" t="n">
        <f aca="false">H19</f>
        <v>237287.296714465</v>
      </c>
      <c r="E20" s="33" t="n">
        <f aca="false">IF(7&lt;='Inputs &amp; Assumptions'!C9,'Inputs &amp; Assumptions'!C11,0)</f>
        <v>5000</v>
      </c>
      <c r="F20" s="32" t="n">
        <f aca="false">IF('Inputs &amp; Assumptions'!C12="Yes",MAX(D20-E20,0)*'Inputs &amp; Assumptions'!G5,D20*'Inputs &amp; Assumptions'!G5)</f>
        <v>1161.43648357233</v>
      </c>
      <c r="G20" s="32" t="n">
        <f aca="false">E20-F20</f>
        <v>3838.56351642767</v>
      </c>
      <c r="H20" s="32" t="n">
        <f aca="false">MAX(D20-G20,0)</f>
        <v>233448.733198038</v>
      </c>
    </row>
    <row r="21" customFormat="false" ht="16.5" hidden="false" customHeight="true" outlineLevel="0" collapsed="false">
      <c r="B21" s="34" t="n">
        <v>8</v>
      </c>
      <c r="C21" s="35" t="n">
        <f aca="false">EDATE('Inputs &amp; Assumptions'!C8,8)</f>
        <v>45536</v>
      </c>
      <c r="D21" s="36" t="n">
        <f aca="false">H20</f>
        <v>233448.733198038</v>
      </c>
      <c r="E21" s="37" t="n">
        <f aca="false">IF(8&lt;='Inputs &amp; Assumptions'!C9,'Inputs &amp; Assumptions'!C11,0)</f>
        <v>5000</v>
      </c>
      <c r="F21" s="36" t="n">
        <f aca="false">IF('Inputs &amp; Assumptions'!C12="Yes",MAX(D21-E21,0)*'Inputs &amp; Assumptions'!G5,D21*'Inputs &amp; Assumptions'!G5)</f>
        <v>1142.24366599019</v>
      </c>
      <c r="G21" s="36" t="n">
        <f aca="false">E21-F21</f>
        <v>3857.75633400981</v>
      </c>
      <c r="H21" s="36" t="n">
        <f aca="false">MAX(D21-G21,0)</f>
        <v>229590.976864028</v>
      </c>
    </row>
    <row r="22" customFormat="false" ht="16.5" hidden="false" customHeight="true" outlineLevel="0" collapsed="false">
      <c r="B22" s="30" t="n">
        <v>9</v>
      </c>
      <c r="C22" s="31" t="n">
        <f aca="false">EDATE('Inputs &amp; Assumptions'!C8,9)</f>
        <v>45566</v>
      </c>
      <c r="D22" s="32" t="n">
        <f aca="false">H21</f>
        <v>229590.976864028</v>
      </c>
      <c r="E22" s="33" t="n">
        <f aca="false">IF(9&lt;='Inputs &amp; Assumptions'!C9,'Inputs &amp; Assumptions'!C11,0)</f>
        <v>5000</v>
      </c>
      <c r="F22" s="32" t="n">
        <f aca="false">IF('Inputs &amp; Assumptions'!C12="Yes",MAX(D22-E22,0)*'Inputs &amp; Assumptions'!G5,D22*'Inputs &amp; Assumptions'!G5)</f>
        <v>1122.95488432014</v>
      </c>
      <c r="G22" s="32" t="n">
        <f aca="false">E22-F22</f>
        <v>3877.04511567986</v>
      </c>
      <c r="H22" s="32" t="n">
        <f aca="false">MAX(D22-G22,0)</f>
        <v>225713.931748348</v>
      </c>
    </row>
    <row r="23" customFormat="false" ht="16.5" hidden="false" customHeight="true" outlineLevel="0" collapsed="false">
      <c r="B23" s="34" t="n">
        <v>10</v>
      </c>
      <c r="C23" s="35" t="n">
        <f aca="false">EDATE('Inputs &amp; Assumptions'!C8,10)</f>
        <v>45597</v>
      </c>
      <c r="D23" s="36" t="n">
        <f aca="false">H22</f>
        <v>225713.931748348</v>
      </c>
      <c r="E23" s="37" t="n">
        <f aca="false">IF(10&lt;='Inputs &amp; Assumptions'!C9,'Inputs &amp; Assumptions'!C11,0)</f>
        <v>5000</v>
      </c>
      <c r="F23" s="36" t="n">
        <f aca="false">IF('Inputs &amp; Assumptions'!C12="Yes",MAX(D23-E23,0)*'Inputs &amp; Assumptions'!G5,D23*'Inputs &amp; Assumptions'!G5)</f>
        <v>1103.56965874174</v>
      </c>
      <c r="G23" s="36" t="n">
        <f aca="false">E23-F23</f>
        <v>3896.43034125826</v>
      </c>
      <c r="H23" s="36" t="n">
        <f aca="false">MAX(D23-G23,0)</f>
        <v>221817.50140709</v>
      </c>
    </row>
    <row r="24" customFormat="false" ht="16.5" hidden="false" customHeight="true" outlineLevel="0" collapsed="false">
      <c r="B24" s="30" t="n">
        <v>11</v>
      </c>
      <c r="C24" s="31" t="n">
        <f aca="false">EDATE('Inputs &amp; Assumptions'!C8,11)</f>
        <v>45627</v>
      </c>
      <c r="D24" s="32" t="n">
        <f aca="false">H23</f>
        <v>221817.50140709</v>
      </c>
      <c r="E24" s="33" t="n">
        <f aca="false">IF(11&lt;='Inputs &amp; Assumptions'!C9,'Inputs &amp; Assumptions'!C11,0)</f>
        <v>5000</v>
      </c>
      <c r="F24" s="32" t="n">
        <f aca="false">IF('Inputs &amp; Assumptions'!C12="Yes",MAX(D24-E24,0)*'Inputs &amp; Assumptions'!G5,D24*'Inputs &amp; Assumptions'!G5)</f>
        <v>1084.08750703545</v>
      </c>
      <c r="G24" s="32" t="n">
        <f aca="false">E24-F24</f>
        <v>3915.91249296455</v>
      </c>
      <c r="H24" s="32" t="n">
        <f aca="false">MAX(D24-G24,0)</f>
        <v>217901.588914125</v>
      </c>
    </row>
    <row r="25" customFormat="false" ht="16.5" hidden="false" customHeight="true" outlineLevel="0" collapsed="false">
      <c r="B25" s="34" t="n">
        <v>12</v>
      </c>
      <c r="C25" s="35" t="n">
        <f aca="false">EDATE('Inputs &amp; Assumptions'!C8,12)</f>
        <v>45658</v>
      </c>
      <c r="D25" s="36" t="n">
        <f aca="false">H24</f>
        <v>217901.588914125</v>
      </c>
      <c r="E25" s="37" t="n">
        <f aca="false">IF(12&lt;='Inputs &amp; Assumptions'!C9,'Inputs &amp; Assumptions'!C11,0)</f>
        <v>5000</v>
      </c>
      <c r="F25" s="36" t="n">
        <f aca="false">IF('Inputs &amp; Assumptions'!C12="Yes",MAX(D25-E25,0)*'Inputs &amp; Assumptions'!G5,D25*'Inputs &amp; Assumptions'!G5)</f>
        <v>1064.50794457063</v>
      </c>
      <c r="G25" s="36" t="n">
        <f aca="false">E25-F25</f>
        <v>3935.49205542937</v>
      </c>
      <c r="H25" s="36" t="n">
        <f aca="false">MAX(D25-G25,0)</f>
        <v>213966.096858696</v>
      </c>
    </row>
    <row r="26" customFormat="false" ht="16.5" hidden="false" customHeight="true" outlineLevel="0" collapsed="false">
      <c r="B26" s="30" t="n">
        <v>13</v>
      </c>
      <c r="C26" s="31" t="n">
        <f aca="false">EDATE('Inputs &amp; Assumptions'!C8,13)</f>
        <v>45689</v>
      </c>
      <c r="D26" s="32" t="n">
        <f aca="false">H25</f>
        <v>213966.096858696</v>
      </c>
      <c r="E26" s="33" t="n">
        <f aca="false">IF(13&lt;='Inputs &amp; Assumptions'!C9,'Inputs &amp; Assumptions'!C11,0)</f>
        <v>5000</v>
      </c>
      <c r="F26" s="32" t="n">
        <f aca="false">IF('Inputs &amp; Assumptions'!C12="Yes",MAX(D26-E26,0)*'Inputs &amp; Assumptions'!G5,D26*'Inputs &amp; Assumptions'!G5)</f>
        <v>1044.83048429348</v>
      </c>
      <c r="G26" s="32" t="n">
        <f aca="false">E26-F26</f>
        <v>3955.16951570652</v>
      </c>
      <c r="H26" s="32" t="n">
        <f aca="false">MAX(D26-G26,0)</f>
        <v>210010.927342989</v>
      </c>
    </row>
    <row r="27" customFormat="false" ht="16.5" hidden="false" customHeight="true" outlineLevel="0" collapsed="false">
      <c r="B27" s="34" t="n">
        <v>14</v>
      </c>
      <c r="C27" s="35" t="n">
        <f aca="false">EDATE('Inputs &amp; Assumptions'!C8,14)</f>
        <v>45717</v>
      </c>
      <c r="D27" s="36" t="n">
        <f aca="false">H26</f>
        <v>210010.927342989</v>
      </c>
      <c r="E27" s="37" t="n">
        <f aca="false">IF(14&lt;='Inputs &amp; Assumptions'!C9,'Inputs &amp; Assumptions'!C11,0)</f>
        <v>5000</v>
      </c>
      <c r="F27" s="36" t="n">
        <f aca="false">IF('Inputs &amp; Assumptions'!C12="Yes",MAX(D27-E27,0)*'Inputs &amp; Assumptions'!G5,D27*'Inputs &amp; Assumptions'!G5)</f>
        <v>1025.05463671495</v>
      </c>
      <c r="G27" s="36" t="n">
        <f aca="false">E27-F27</f>
        <v>3974.94536328505</v>
      </c>
      <c r="H27" s="36" t="n">
        <f aca="false">MAX(D27-G27,0)</f>
        <v>206035.981979704</v>
      </c>
    </row>
    <row r="28" customFormat="false" ht="16.5" hidden="false" customHeight="true" outlineLevel="0" collapsed="false">
      <c r="B28" s="30" t="n">
        <v>15</v>
      </c>
      <c r="C28" s="31" t="n">
        <f aca="false">EDATE('Inputs &amp; Assumptions'!C8,15)</f>
        <v>45748</v>
      </c>
      <c r="D28" s="32" t="n">
        <f aca="false">H27</f>
        <v>206035.981979704</v>
      </c>
      <c r="E28" s="33" t="n">
        <f aca="false">IF(15&lt;='Inputs &amp; Assumptions'!C9,'Inputs &amp; Assumptions'!C11,0)</f>
        <v>5000</v>
      </c>
      <c r="F28" s="32" t="n">
        <f aca="false">IF('Inputs &amp; Assumptions'!C12="Yes",MAX(D28-E28,0)*'Inputs &amp; Assumptions'!G5,D28*'Inputs &amp; Assumptions'!G5)</f>
        <v>1005.17990989852</v>
      </c>
      <c r="G28" s="32" t="n">
        <f aca="false">E28-F28</f>
        <v>3994.82009010148</v>
      </c>
      <c r="H28" s="32" t="n">
        <f aca="false">MAX(D28-G28,0)</f>
        <v>202041.161889603</v>
      </c>
    </row>
    <row r="29" customFormat="false" ht="16.5" hidden="false" customHeight="true" outlineLevel="0" collapsed="false">
      <c r="B29" s="34" t="n">
        <v>16</v>
      </c>
      <c r="C29" s="35" t="n">
        <f aca="false">EDATE('Inputs &amp; Assumptions'!C8,16)</f>
        <v>45778</v>
      </c>
      <c r="D29" s="36" t="n">
        <f aca="false">H28</f>
        <v>202041.161889603</v>
      </c>
      <c r="E29" s="37" t="n">
        <f aca="false">IF(16&lt;='Inputs &amp; Assumptions'!C9,'Inputs &amp; Assumptions'!C11,0)</f>
        <v>5000</v>
      </c>
      <c r="F29" s="36" t="n">
        <f aca="false">IF('Inputs &amp; Assumptions'!C12="Yes",MAX(D29-E29,0)*'Inputs &amp; Assumptions'!G5,D29*'Inputs &amp; Assumptions'!G5)</f>
        <v>985.205809448014</v>
      </c>
      <c r="G29" s="36" t="n">
        <f aca="false">E29-F29</f>
        <v>4014.79419055199</v>
      </c>
      <c r="H29" s="36" t="n">
        <f aca="false">MAX(D29-G29,0)</f>
        <v>198026.367699051</v>
      </c>
    </row>
    <row r="30" customFormat="false" ht="16.5" hidden="false" customHeight="true" outlineLevel="0" collapsed="false">
      <c r="B30" s="30" t="n">
        <v>17</v>
      </c>
      <c r="C30" s="31" t="n">
        <f aca="false">EDATE('Inputs &amp; Assumptions'!C8,17)</f>
        <v>45809</v>
      </c>
      <c r="D30" s="32" t="n">
        <f aca="false">H29</f>
        <v>198026.367699051</v>
      </c>
      <c r="E30" s="33" t="n">
        <f aca="false">IF(17&lt;='Inputs &amp; Assumptions'!C9,'Inputs &amp; Assumptions'!C11,0)</f>
        <v>5000</v>
      </c>
      <c r="F30" s="32" t="n">
        <f aca="false">IF('Inputs &amp; Assumptions'!C12="Yes",MAX(D30-E30,0)*'Inputs &amp; Assumptions'!G5,D30*'Inputs &amp; Assumptions'!G5)</f>
        <v>965.131838495254</v>
      </c>
      <c r="G30" s="32" t="n">
        <f aca="false">E30-F30</f>
        <v>4034.86816150475</v>
      </c>
      <c r="H30" s="32" t="n">
        <f aca="false">MAX(D30-G30,0)</f>
        <v>193991.499537546</v>
      </c>
    </row>
    <row r="31" customFormat="false" ht="16.5" hidden="false" customHeight="true" outlineLevel="0" collapsed="false">
      <c r="B31" s="34" t="n">
        <v>18</v>
      </c>
      <c r="C31" s="35" t="n">
        <f aca="false">EDATE('Inputs &amp; Assumptions'!C8,18)</f>
        <v>45839</v>
      </c>
      <c r="D31" s="36" t="n">
        <f aca="false">H30</f>
        <v>193991.499537546</v>
      </c>
      <c r="E31" s="37" t="n">
        <f aca="false">IF(18&lt;='Inputs &amp; Assumptions'!C9,'Inputs &amp; Assumptions'!C11,0)</f>
        <v>5000</v>
      </c>
      <c r="F31" s="36" t="n">
        <f aca="false">IF('Inputs &amp; Assumptions'!C12="Yes",MAX(D31-E31,0)*'Inputs &amp; Assumptions'!G5,D31*'Inputs &amp; Assumptions'!G5)</f>
        <v>944.95749768773</v>
      </c>
      <c r="G31" s="36" t="n">
        <f aca="false">E31-F31</f>
        <v>4055.04250231227</v>
      </c>
      <c r="H31" s="36" t="n">
        <f aca="false">MAX(D31-G31,0)</f>
        <v>189936.457035234</v>
      </c>
    </row>
    <row r="32" customFormat="false" ht="16.5" hidden="false" customHeight="true" outlineLevel="0" collapsed="false">
      <c r="B32" s="30" t="n">
        <v>19</v>
      </c>
      <c r="C32" s="31" t="n">
        <f aca="false">EDATE('Inputs &amp; Assumptions'!C8,19)</f>
        <v>45870</v>
      </c>
      <c r="D32" s="32" t="n">
        <f aca="false">H31</f>
        <v>189936.457035234</v>
      </c>
      <c r="E32" s="33" t="n">
        <f aca="false">IF(19&lt;='Inputs &amp; Assumptions'!C9,'Inputs &amp; Assumptions'!C11,0)</f>
        <v>5000</v>
      </c>
      <c r="F32" s="32" t="n">
        <f aca="false">IF('Inputs &amp; Assumptions'!C12="Yes",MAX(D32-E32,0)*'Inputs &amp; Assumptions'!G5,D32*'Inputs &amp; Assumptions'!G5)</f>
        <v>924.682285176169</v>
      </c>
      <c r="G32" s="32" t="n">
        <f aca="false">E32-F32</f>
        <v>4075.31771482383</v>
      </c>
      <c r="H32" s="32" t="n">
        <f aca="false">MAX(D32-G32,0)</f>
        <v>185861.13932041</v>
      </c>
    </row>
    <row r="33" customFormat="false" ht="16.5" hidden="false" customHeight="true" outlineLevel="0" collapsed="false">
      <c r="B33" s="34" t="n">
        <v>20</v>
      </c>
      <c r="C33" s="35" t="n">
        <f aca="false">EDATE('Inputs &amp; Assumptions'!C8,20)</f>
        <v>45901</v>
      </c>
      <c r="D33" s="36" t="n">
        <f aca="false">H32</f>
        <v>185861.13932041</v>
      </c>
      <c r="E33" s="37" t="n">
        <f aca="false">IF(20&lt;='Inputs &amp; Assumptions'!C9,'Inputs &amp; Assumptions'!C11,0)</f>
        <v>5000</v>
      </c>
      <c r="F33" s="36" t="n">
        <f aca="false">IF('Inputs &amp; Assumptions'!C12="Yes",MAX(D33-E33,0)*'Inputs &amp; Assumptions'!G5,D33*'Inputs &amp; Assumptions'!G5)</f>
        <v>904.30569660205</v>
      </c>
      <c r="G33" s="36" t="n">
        <f aca="false">E33-F33</f>
        <v>4095.69430339795</v>
      </c>
      <c r="H33" s="36" t="n">
        <f aca="false">MAX(D33-G33,0)</f>
        <v>181765.445017012</v>
      </c>
    </row>
    <row r="34" customFormat="false" ht="16.5" hidden="false" customHeight="true" outlineLevel="0" collapsed="false">
      <c r="B34" s="30" t="n">
        <v>21</v>
      </c>
      <c r="C34" s="31" t="n">
        <f aca="false">EDATE('Inputs &amp; Assumptions'!C8,21)</f>
        <v>45931</v>
      </c>
      <c r="D34" s="32" t="n">
        <f aca="false">H33</f>
        <v>181765.445017012</v>
      </c>
      <c r="E34" s="33" t="n">
        <f aca="false">IF(21&lt;='Inputs &amp; Assumptions'!C9,'Inputs &amp; Assumptions'!C11,0)</f>
        <v>5000</v>
      </c>
      <c r="F34" s="32" t="n">
        <f aca="false">IF('Inputs &amp; Assumptions'!C12="Yes",MAX(D34-E34,0)*'Inputs &amp; Assumptions'!G5,D34*'Inputs &amp; Assumptions'!G5)</f>
        <v>883.82722508506</v>
      </c>
      <c r="G34" s="32" t="n">
        <f aca="false">E34-F34</f>
        <v>4116.17277491494</v>
      </c>
      <c r="H34" s="32" t="n">
        <f aca="false">MAX(D34-G34,0)</f>
        <v>177649.272242097</v>
      </c>
    </row>
    <row r="35" customFormat="false" ht="16.5" hidden="false" customHeight="true" outlineLevel="0" collapsed="false">
      <c r="B35" s="34" t="n">
        <v>22</v>
      </c>
      <c r="C35" s="35" t="n">
        <f aca="false">EDATE('Inputs &amp; Assumptions'!C8,22)</f>
        <v>45962</v>
      </c>
      <c r="D35" s="36" t="n">
        <f aca="false">H34</f>
        <v>177649.272242097</v>
      </c>
      <c r="E35" s="37" t="n">
        <f aca="false">IF(22&lt;='Inputs &amp; Assumptions'!C9,'Inputs &amp; Assumptions'!C11,0)</f>
        <v>5000</v>
      </c>
      <c r="F35" s="36" t="n">
        <f aca="false">IF('Inputs &amp; Assumptions'!C12="Yes",MAX(D35-E35,0)*'Inputs &amp; Assumptions'!G5,D35*'Inputs &amp; Assumptions'!G5)</f>
        <v>863.246361210485</v>
      </c>
      <c r="G35" s="36" t="n">
        <f aca="false">E35-F35</f>
        <v>4136.75363878951</v>
      </c>
      <c r="H35" s="36" t="n">
        <f aca="false">MAX(D35-G35,0)</f>
        <v>173512.518603308</v>
      </c>
    </row>
    <row r="36" customFormat="false" ht="16.5" hidden="false" customHeight="true" outlineLevel="0" collapsed="false">
      <c r="B36" s="30" t="n">
        <v>23</v>
      </c>
      <c r="C36" s="31" t="n">
        <f aca="false">EDATE('Inputs &amp; Assumptions'!C8,23)</f>
        <v>45992</v>
      </c>
      <c r="D36" s="32" t="n">
        <f aca="false">H35</f>
        <v>173512.518603308</v>
      </c>
      <c r="E36" s="33" t="n">
        <f aca="false">IF(23&lt;='Inputs &amp; Assumptions'!C9,'Inputs &amp; Assumptions'!C11,0)</f>
        <v>5000</v>
      </c>
      <c r="F36" s="32" t="n">
        <f aca="false">IF('Inputs &amp; Assumptions'!C12="Yes",MAX(D36-E36,0)*'Inputs &amp; Assumptions'!G5,D36*'Inputs &amp; Assumptions'!G5)</f>
        <v>842.562593016538</v>
      </c>
      <c r="G36" s="32" t="n">
        <f aca="false">E36-F36</f>
        <v>4157.43740698346</v>
      </c>
      <c r="H36" s="32" t="n">
        <f aca="false">MAX(D36-G36,0)</f>
        <v>169355.081196324</v>
      </c>
    </row>
    <row r="37" customFormat="false" ht="16.5" hidden="false" customHeight="true" outlineLevel="0" collapsed="false">
      <c r="B37" s="34" t="n">
        <v>24</v>
      </c>
      <c r="C37" s="35" t="n">
        <f aca="false">EDATE('Inputs &amp; Assumptions'!C8,24)</f>
        <v>46023</v>
      </c>
      <c r="D37" s="36" t="n">
        <f aca="false">H36</f>
        <v>169355.081196324</v>
      </c>
      <c r="E37" s="37" t="n">
        <f aca="false">IF(24&lt;='Inputs &amp; Assumptions'!C9,'Inputs &amp; Assumptions'!C11,0)</f>
        <v>5000</v>
      </c>
      <c r="F37" s="36" t="n">
        <f aca="false">IF('Inputs &amp; Assumptions'!C12="Yes",MAX(D37-E37,0)*'Inputs &amp; Assumptions'!G5,D37*'Inputs &amp; Assumptions'!G5)</f>
        <v>821.775405981621</v>
      </c>
      <c r="G37" s="36" t="n">
        <f aca="false">E37-F37</f>
        <v>4178.22459401838</v>
      </c>
      <c r="H37" s="36" t="n">
        <f aca="false">MAX(D37-G37,0)</f>
        <v>165176.856602306</v>
      </c>
    </row>
    <row r="38" customFormat="false" ht="16.5" hidden="false" customHeight="true" outlineLevel="0" collapsed="false">
      <c r="B38" s="30" t="n">
        <v>25</v>
      </c>
      <c r="C38" s="31" t="n">
        <f aca="false">EDATE('Inputs &amp; Assumptions'!C8,25)</f>
        <v>46054</v>
      </c>
      <c r="D38" s="32" t="n">
        <f aca="false">H37</f>
        <v>165176.856602306</v>
      </c>
      <c r="E38" s="33" t="n">
        <f aca="false">IF(25&lt;='Inputs &amp; Assumptions'!C9,'Inputs &amp; Assumptions'!C11,0)</f>
        <v>5000</v>
      </c>
      <c r="F38" s="32" t="n">
        <f aca="false">IF('Inputs &amp; Assumptions'!C12="Yes",MAX(D38-E38,0)*'Inputs &amp; Assumptions'!G5,D38*'Inputs &amp; Assumptions'!G5)</f>
        <v>800.884283011529</v>
      </c>
      <c r="G38" s="32" t="n">
        <f aca="false">E38-F38</f>
        <v>4199.11571698847</v>
      </c>
      <c r="H38" s="32" t="n">
        <f aca="false">MAX(D38-G38,0)</f>
        <v>160977.740885317</v>
      </c>
    </row>
    <row r="39" customFormat="false" ht="16.5" hidden="false" customHeight="true" outlineLevel="0" collapsed="false">
      <c r="B39" s="34" t="n">
        <v>26</v>
      </c>
      <c r="C39" s="35" t="n">
        <f aca="false">EDATE('Inputs &amp; Assumptions'!C8,26)</f>
        <v>46082</v>
      </c>
      <c r="D39" s="36" t="n">
        <f aca="false">H38</f>
        <v>160977.740885317</v>
      </c>
      <c r="E39" s="37" t="n">
        <f aca="false">IF(26&lt;='Inputs &amp; Assumptions'!C9,'Inputs &amp; Assumptions'!C11,0)</f>
        <v>5000</v>
      </c>
      <c r="F39" s="36" t="n">
        <f aca="false">IF('Inputs &amp; Assumptions'!C12="Yes",MAX(D39-E39,0)*'Inputs &amp; Assumptions'!G5,D39*'Inputs &amp; Assumptions'!G5)</f>
        <v>779.888704426586</v>
      </c>
      <c r="G39" s="36" t="n">
        <f aca="false">E39-F39</f>
        <v>4220.11129557341</v>
      </c>
      <c r="H39" s="36" t="n">
        <f aca="false">MAX(D39-G39,0)</f>
        <v>156757.629589744</v>
      </c>
    </row>
    <row r="40" customFormat="false" ht="16.5" hidden="false" customHeight="true" outlineLevel="0" collapsed="false">
      <c r="B40" s="30" t="n">
        <v>27</v>
      </c>
      <c r="C40" s="31" t="n">
        <f aca="false">EDATE('Inputs &amp; Assumptions'!C8,27)</f>
        <v>46113</v>
      </c>
      <c r="D40" s="32" t="n">
        <f aca="false">H39</f>
        <v>156757.629589744</v>
      </c>
      <c r="E40" s="33" t="n">
        <f aca="false">IF(27&lt;='Inputs &amp; Assumptions'!C9,'Inputs &amp; Assumptions'!C11,0)</f>
        <v>5000</v>
      </c>
      <c r="F40" s="32" t="n">
        <f aca="false">IF('Inputs &amp; Assumptions'!C12="Yes",MAX(D40-E40,0)*'Inputs &amp; Assumptions'!G5,D40*'Inputs &amp; Assumptions'!G5)</f>
        <v>758.788147948719</v>
      </c>
      <c r="G40" s="32" t="n">
        <f aca="false">E40-F40</f>
        <v>4241.21185205128</v>
      </c>
      <c r="H40" s="32" t="n">
        <f aca="false">MAX(D40-G40,0)</f>
        <v>152516.417737693</v>
      </c>
    </row>
    <row r="41" customFormat="false" ht="16.5" hidden="false" customHeight="true" outlineLevel="0" collapsed="false">
      <c r="B41" s="34" t="n">
        <v>28</v>
      </c>
      <c r="C41" s="35" t="n">
        <f aca="false">EDATE('Inputs &amp; Assumptions'!C8,28)</f>
        <v>46143</v>
      </c>
      <c r="D41" s="36" t="n">
        <f aca="false">H40</f>
        <v>152516.417737693</v>
      </c>
      <c r="E41" s="37" t="n">
        <f aca="false">IF(28&lt;='Inputs &amp; Assumptions'!C9,'Inputs &amp; Assumptions'!C11,0)</f>
        <v>5000</v>
      </c>
      <c r="F41" s="36" t="n">
        <f aca="false">IF('Inputs &amp; Assumptions'!C12="Yes",MAX(D41-E41,0)*'Inputs &amp; Assumptions'!G5,D41*'Inputs &amp; Assumptions'!G5)</f>
        <v>737.582088688463</v>
      </c>
      <c r="G41" s="36" t="n">
        <f aca="false">E41-F41</f>
        <v>4262.41791131154</v>
      </c>
      <c r="H41" s="36" t="n">
        <f aca="false">MAX(D41-G41,0)</f>
        <v>148253.999826381</v>
      </c>
    </row>
    <row r="42" customFormat="false" ht="16.5" hidden="false" customHeight="true" outlineLevel="0" collapsed="false">
      <c r="B42" s="30" t="n">
        <v>29</v>
      </c>
      <c r="C42" s="31" t="n">
        <f aca="false">EDATE('Inputs &amp; Assumptions'!C8,29)</f>
        <v>46174</v>
      </c>
      <c r="D42" s="32" t="n">
        <f aca="false">H41</f>
        <v>148253.999826381</v>
      </c>
      <c r="E42" s="33" t="n">
        <f aca="false">IF(29&lt;='Inputs &amp; Assumptions'!C9,'Inputs &amp; Assumptions'!C11,0)</f>
        <v>5000</v>
      </c>
      <c r="F42" s="32" t="n">
        <f aca="false">IF('Inputs &amp; Assumptions'!C12="Yes",MAX(D42-E42,0)*'Inputs &amp; Assumptions'!G5,D42*'Inputs &amp; Assumptions'!G5)</f>
        <v>716.269999131905</v>
      </c>
      <c r="G42" s="32" t="n">
        <f aca="false">E42-F42</f>
        <v>4283.7300008681</v>
      </c>
      <c r="H42" s="32" t="n">
        <f aca="false">MAX(D42-G42,0)</f>
        <v>143970.269825513</v>
      </c>
    </row>
    <row r="43" customFormat="false" ht="16.5" hidden="false" customHeight="true" outlineLevel="0" collapsed="false">
      <c r="B43" s="34" t="n">
        <v>30</v>
      </c>
      <c r="C43" s="35" t="n">
        <f aca="false">EDATE('Inputs &amp; Assumptions'!C8,30)</f>
        <v>46204</v>
      </c>
      <c r="D43" s="36" t="n">
        <f aca="false">H42</f>
        <v>143970.269825513</v>
      </c>
      <c r="E43" s="37" t="n">
        <f aca="false">IF(30&lt;='Inputs &amp; Assumptions'!C9,'Inputs &amp; Assumptions'!C11,0)</f>
        <v>5000</v>
      </c>
      <c r="F43" s="36" t="n">
        <f aca="false">IF('Inputs &amp; Assumptions'!C12="Yes",MAX(D43-E43,0)*'Inputs &amp; Assumptions'!G5,D43*'Inputs &amp; Assumptions'!G5)</f>
        <v>694.851349127565</v>
      </c>
      <c r="G43" s="36" t="n">
        <f aca="false">E43-F43</f>
        <v>4305.14865087244</v>
      </c>
      <c r="H43" s="36" t="n">
        <f aca="false">MAX(D43-G43,0)</f>
        <v>139665.12117464</v>
      </c>
    </row>
    <row r="44" customFormat="false" ht="16.5" hidden="false" customHeight="true" outlineLevel="0" collapsed="false">
      <c r="B44" s="30" t="n">
        <v>31</v>
      </c>
      <c r="C44" s="31" t="n">
        <f aca="false">EDATE('Inputs &amp; Assumptions'!C8,31)</f>
        <v>46235</v>
      </c>
      <c r="D44" s="32" t="n">
        <f aca="false">H43</f>
        <v>139665.12117464</v>
      </c>
      <c r="E44" s="33" t="n">
        <f aca="false">IF(31&lt;='Inputs &amp; Assumptions'!C9,'Inputs &amp; Assumptions'!C11,0)</f>
        <v>5000</v>
      </c>
      <c r="F44" s="32" t="n">
        <f aca="false">IF('Inputs &amp; Assumptions'!C12="Yes",MAX(D44-E44,0)*'Inputs &amp; Assumptions'!G5,D44*'Inputs &amp; Assumptions'!G5)</f>
        <v>673.325605873202</v>
      </c>
      <c r="G44" s="32" t="n">
        <f aca="false">E44-F44</f>
        <v>4326.6743941268</v>
      </c>
      <c r="H44" s="32" t="n">
        <f aca="false">MAX(D44-G44,0)</f>
        <v>135338.446780514</v>
      </c>
    </row>
    <row r="45" customFormat="false" ht="16.5" hidden="false" customHeight="true" outlineLevel="0" collapsed="false">
      <c r="B45" s="34" t="n">
        <v>32</v>
      </c>
      <c r="C45" s="35" t="n">
        <f aca="false">EDATE('Inputs &amp; Assumptions'!C8,32)</f>
        <v>46266</v>
      </c>
      <c r="D45" s="36" t="n">
        <f aca="false">H44</f>
        <v>135338.446780514</v>
      </c>
      <c r="E45" s="37" t="n">
        <f aca="false">IF(32&lt;='Inputs &amp; Assumptions'!C9,'Inputs &amp; Assumptions'!C11,0)</f>
        <v>5000</v>
      </c>
      <c r="F45" s="36" t="n">
        <f aca="false">IF('Inputs &amp; Assumptions'!C12="Yes",MAX(D45-E45,0)*'Inputs &amp; Assumptions'!G5,D45*'Inputs &amp; Assumptions'!G5)</f>
        <v>651.692233902568</v>
      </c>
      <c r="G45" s="36" t="n">
        <f aca="false">E45-F45</f>
        <v>4348.30776609743</v>
      </c>
      <c r="H45" s="36" t="n">
        <f aca="false">MAX(D45-G45,0)</f>
        <v>130990.139014416</v>
      </c>
    </row>
    <row r="46" customFormat="false" ht="16.5" hidden="false" customHeight="true" outlineLevel="0" collapsed="false">
      <c r="B46" s="30" t="n">
        <v>33</v>
      </c>
      <c r="C46" s="31" t="n">
        <f aca="false">EDATE('Inputs &amp; Assumptions'!C8,33)</f>
        <v>46296</v>
      </c>
      <c r="D46" s="32" t="n">
        <f aca="false">H45</f>
        <v>130990.139014416</v>
      </c>
      <c r="E46" s="33" t="n">
        <f aca="false">IF(33&lt;='Inputs &amp; Assumptions'!C9,'Inputs &amp; Assumptions'!C11,0)</f>
        <v>5000</v>
      </c>
      <c r="F46" s="32" t="n">
        <f aca="false">IF('Inputs &amp; Assumptions'!C12="Yes",MAX(D46-E46,0)*'Inputs &amp; Assumptions'!G5,D46*'Inputs &amp; Assumptions'!G5)</f>
        <v>629.950695072081</v>
      </c>
      <c r="G46" s="32" t="n">
        <f aca="false">E46-F46</f>
        <v>4370.04930492792</v>
      </c>
      <c r="H46" s="32" t="n">
        <f aca="false">MAX(D46-G46,0)</f>
        <v>126620.089709488</v>
      </c>
    </row>
    <row r="47" customFormat="false" ht="16.5" hidden="false" customHeight="true" outlineLevel="0" collapsed="false">
      <c r="B47" s="34" t="n">
        <v>34</v>
      </c>
      <c r="C47" s="35" t="n">
        <f aca="false">EDATE('Inputs &amp; Assumptions'!C8,34)</f>
        <v>46327</v>
      </c>
      <c r="D47" s="36" t="n">
        <f aca="false">H46</f>
        <v>126620.089709488</v>
      </c>
      <c r="E47" s="37" t="n">
        <f aca="false">IF(34&lt;='Inputs &amp; Assumptions'!C9,'Inputs &amp; Assumptions'!C11,0)</f>
        <v>5000</v>
      </c>
      <c r="F47" s="36" t="n">
        <f aca="false">IF('Inputs &amp; Assumptions'!C12="Yes",MAX(D47-E47,0)*'Inputs &amp; Assumptions'!G5,D47*'Inputs &amp; Assumptions'!G5)</f>
        <v>608.100448547442</v>
      </c>
      <c r="G47" s="36" t="n">
        <f aca="false">E47-F47</f>
        <v>4391.89955145256</v>
      </c>
      <c r="H47" s="36" t="n">
        <f aca="false">MAX(D47-G47,0)</f>
        <v>122228.190158036</v>
      </c>
    </row>
    <row r="48" customFormat="false" ht="16.5" hidden="false" customHeight="true" outlineLevel="0" collapsed="false">
      <c r="B48" s="30" t="n">
        <v>35</v>
      </c>
      <c r="C48" s="31" t="n">
        <f aca="false">EDATE('Inputs &amp; Assumptions'!C8,35)</f>
        <v>46357</v>
      </c>
      <c r="D48" s="32" t="n">
        <f aca="false">H47</f>
        <v>122228.190158036</v>
      </c>
      <c r="E48" s="33" t="n">
        <f aca="false">IF(35&lt;='Inputs &amp; Assumptions'!C9,'Inputs &amp; Assumptions'!C11,0)</f>
        <v>5000</v>
      </c>
      <c r="F48" s="32" t="n">
        <f aca="false">IF('Inputs &amp; Assumptions'!C12="Yes",MAX(D48-E48,0)*'Inputs &amp; Assumptions'!G5,D48*'Inputs &amp; Assumptions'!G5)</f>
        <v>586.140950790179</v>
      </c>
      <c r="G48" s="32" t="n">
        <f aca="false">E48-F48</f>
        <v>4413.85904920982</v>
      </c>
      <c r="H48" s="32" t="n">
        <f aca="false">MAX(D48-G48,0)</f>
        <v>117814.331108826</v>
      </c>
    </row>
    <row r="49" customFormat="false" ht="16.5" hidden="false" customHeight="true" outlineLevel="0" collapsed="false">
      <c r="B49" s="34" t="n">
        <v>36</v>
      </c>
      <c r="C49" s="35" t="n">
        <f aca="false">EDATE('Inputs &amp; Assumptions'!C8,36)</f>
        <v>46388</v>
      </c>
      <c r="D49" s="36" t="n">
        <f aca="false">H48</f>
        <v>117814.331108826</v>
      </c>
      <c r="E49" s="37" t="n">
        <f aca="false">IF(36&lt;='Inputs &amp; Assumptions'!C9,'Inputs &amp; Assumptions'!C11,0)</f>
        <v>5000</v>
      </c>
      <c r="F49" s="36" t="n">
        <f aca="false">IF('Inputs &amp; Assumptions'!C12="Yes",MAX(D49-E49,0)*'Inputs &amp; Assumptions'!G5,D49*'Inputs &amp; Assumptions'!G5)</f>
        <v>564.07165554413</v>
      </c>
      <c r="G49" s="36" t="n">
        <f aca="false">E49-F49</f>
        <v>4435.92834445587</v>
      </c>
      <c r="H49" s="36" t="n">
        <f aca="false">MAX(D49-G49,0)</f>
        <v>113378.40276437</v>
      </c>
    </row>
    <row r="50" customFormat="false" ht="16.5" hidden="false" customHeight="true" outlineLevel="0" collapsed="false">
      <c r="B50" s="30" t="n">
        <v>37</v>
      </c>
      <c r="C50" s="31" t="n">
        <f aca="false">EDATE('Inputs &amp; Assumptions'!C8,37)</f>
        <v>46419</v>
      </c>
      <c r="D50" s="32" t="n">
        <f aca="false">H49</f>
        <v>113378.40276437</v>
      </c>
      <c r="E50" s="33" t="n">
        <f aca="false">IF(37&lt;='Inputs &amp; Assumptions'!C9,'Inputs &amp; Assumptions'!C11,0)</f>
        <v>5000</v>
      </c>
      <c r="F50" s="32" t="n">
        <f aca="false">IF('Inputs &amp; Assumptions'!C12="Yes",MAX(D50-E50,0)*'Inputs &amp; Assumptions'!G5,D50*'Inputs &amp; Assumptions'!G5)</f>
        <v>541.89201382185</v>
      </c>
      <c r="G50" s="32" t="n">
        <f aca="false">E50-F50</f>
        <v>4458.10798617815</v>
      </c>
      <c r="H50" s="32" t="n">
        <f aca="false">MAX(D50-G50,0)</f>
        <v>108920.294778192</v>
      </c>
    </row>
    <row r="51" customFormat="false" ht="16.5" hidden="false" customHeight="true" outlineLevel="0" collapsed="false">
      <c r="B51" s="34" t="n">
        <v>38</v>
      </c>
      <c r="C51" s="35" t="n">
        <f aca="false">EDATE('Inputs &amp; Assumptions'!C8,38)</f>
        <v>46447</v>
      </c>
      <c r="D51" s="36" t="n">
        <f aca="false">H50</f>
        <v>108920.294778192</v>
      </c>
      <c r="E51" s="37" t="n">
        <f aca="false">IF(38&lt;='Inputs &amp; Assumptions'!C9,'Inputs &amp; Assumptions'!C11,0)</f>
        <v>5000</v>
      </c>
      <c r="F51" s="36" t="n">
        <f aca="false">IF('Inputs &amp; Assumptions'!C12="Yes",MAX(D51-E51,0)*'Inputs &amp; Assumptions'!G5,D51*'Inputs &amp; Assumptions'!G5)</f>
        <v>519.60147389096</v>
      </c>
      <c r="G51" s="36" t="n">
        <f aca="false">E51-F51</f>
        <v>4480.39852610904</v>
      </c>
      <c r="H51" s="36" t="n">
        <f aca="false">MAX(D51-G51,0)</f>
        <v>104439.896252083</v>
      </c>
    </row>
    <row r="52" customFormat="false" ht="16.5" hidden="false" customHeight="true" outlineLevel="0" collapsed="false">
      <c r="B52" s="30" t="n">
        <v>39</v>
      </c>
      <c r="C52" s="31" t="n">
        <f aca="false">EDATE('Inputs &amp; Assumptions'!C8,39)</f>
        <v>46478</v>
      </c>
      <c r="D52" s="32" t="n">
        <f aca="false">H51</f>
        <v>104439.896252083</v>
      </c>
      <c r="E52" s="33" t="n">
        <f aca="false">IF(39&lt;='Inputs &amp; Assumptions'!C9,'Inputs &amp; Assumptions'!C11,0)</f>
        <v>5000</v>
      </c>
      <c r="F52" s="32" t="n">
        <f aca="false">IF('Inputs &amp; Assumptions'!C12="Yes",MAX(D52-E52,0)*'Inputs &amp; Assumptions'!G5,D52*'Inputs &amp; Assumptions'!G5)</f>
        <v>497.199481260414</v>
      </c>
      <c r="G52" s="32" t="n">
        <f aca="false">E52-F52</f>
        <v>4502.80051873959</v>
      </c>
      <c r="H52" s="32" t="n">
        <f aca="false">MAX(D52-G52,0)</f>
        <v>99937.0957333433</v>
      </c>
    </row>
    <row r="53" customFormat="false" ht="16.5" hidden="false" customHeight="true" outlineLevel="0" collapsed="false">
      <c r="B53" s="34" t="n">
        <v>40</v>
      </c>
      <c r="C53" s="35" t="n">
        <f aca="false">EDATE('Inputs &amp; Assumptions'!C8,40)</f>
        <v>46508</v>
      </c>
      <c r="D53" s="36" t="n">
        <f aca="false">H52</f>
        <v>99937.0957333433</v>
      </c>
      <c r="E53" s="37" t="n">
        <f aca="false">IF(40&lt;='Inputs &amp; Assumptions'!C9,'Inputs &amp; Assumptions'!C11,0)</f>
        <v>5000</v>
      </c>
      <c r="F53" s="36" t="n">
        <f aca="false">IF('Inputs &amp; Assumptions'!C12="Yes",MAX(D53-E53,0)*'Inputs &amp; Assumptions'!G5,D53*'Inputs &amp; Assumptions'!G5)</f>
        <v>474.685478666716</v>
      </c>
      <c r="G53" s="36" t="n">
        <f aca="false">E53-F53</f>
        <v>4525.31452133328</v>
      </c>
      <c r="H53" s="36" t="n">
        <f aca="false">MAX(D53-G53,0)</f>
        <v>95411.78121201</v>
      </c>
    </row>
    <row r="54" customFormat="false" ht="16.5" hidden="false" customHeight="true" outlineLevel="0" collapsed="false">
      <c r="B54" s="30" t="n">
        <v>41</v>
      </c>
      <c r="C54" s="31" t="n">
        <f aca="false">EDATE('Inputs &amp; Assumptions'!C8,41)</f>
        <v>46539</v>
      </c>
      <c r="D54" s="32" t="n">
        <f aca="false">H53</f>
        <v>95411.78121201</v>
      </c>
      <c r="E54" s="33" t="n">
        <f aca="false">IF(41&lt;='Inputs &amp; Assumptions'!C9,'Inputs &amp; Assumptions'!C11,0)</f>
        <v>5000</v>
      </c>
      <c r="F54" s="32" t="n">
        <f aca="false">IF('Inputs &amp; Assumptions'!C12="Yes",MAX(D54-E54,0)*'Inputs &amp; Assumptions'!G5,D54*'Inputs &amp; Assumptions'!G5)</f>
        <v>452.05890606005</v>
      </c>
      <c r="G54" s="32" t="n">
        <f aca="false">E54-F54</f>
        <v>4547.94109393995</v>
      </c>
      <c r="H54" s="32" t="n">
        <f aca="false">MAX(D54-G54,0)</f>
        <v>90863.84011807</v>
      </c>
    </row>
    <row r="55" customFormat="false" ht="16.5" hidden="false" customHeight="true" outlineLevel="0" collapsed="false">
      <c r="B55" s="34" t="n">
        <v>42</v>
      </c>
      <c r="C55" s="35" t="n">
        <f aca="false">EDATE('Inputs &amp; Assumptions'!C8,42)</f>
        <v>46569</v>
      </c>
      <c r="D55" s="36" t="n">
        <f aca="false">H54</f>
        <v>90863.84011807</v>
      </c>
      <c r="E55" s="37" t="n">
        <f aca="false">IF(42&lt;='Inputs &amp; Assumptions'!C9,'Inputs &amp; Assumptions'!C11,0)</f>
        <v>5000</v>
      </c>
      <c r="F55" s="36" t="n">
        <f aca="false">IF('Inputs &amp; Assumptions'!C12="Yes",MAX(D55-E55,0)*'Inputs &amp; Assumptions'!G5,D55*'Inputs &amp; Assumptions'!G5)</f>
        <v>429.31920059035</v>
      </c>
      <c r="G55" s="36" t="n">
        <f aca="false">E55-F55</f>
        <v>4570.68079940965</v>
      </c>
      <c r="H55" s="36" t="n">
        <f aca="false">MAX(D55-G55,0)</f>
        <v>86293.1593186604</v>
      </c>
    </row>
    <row r="56" customFormat="false" ht="16.5" hidden="false" customHeight="true" outlineLevel="0" collapsed="false">
      <c r="B56" s="30" t="n">
        <v>43</v>
      </c>
      <c r="C56" s="31" t="n">
        <f aca="false">EDATE('Inputs &amp; Assumptions'!C8,43)</f>
        <v>46600</v>
      </c>
      <c r="D56" s="32" t="n">
        <f aca="false">H55</f>
        <v>86293.1593186604</v>
      </c>
      <c r="E56" s="33" t="n">
        <f aca="false">IF(43&lt;='Inputs &amp; Assumptions'!C9,'Inputs &amp; Assumptions'!C11,0)</f>
        <v>5000</v>
      </c>
      <c r="F56" s="32" t="n">
        <f aca="false">IF('Inputs &amp; Assumptions'!C12="Yes",MAX(D56-E56,0)*'Inputs &amp; Assumptions'!G5,D56*'Inputs &amp; Assumptions'!G5)</f>
        <v>406.465796593302</v>
      </c>
      <c r="G56" s="32" t="n">
        <f aca="false">E56-F56</f>
        <v>4593.5342034067</v>
      </c>
      <c r="H56" s="32" t="n">
        <f aca="false">MAX(D56-G56,0)</f>
        <v>81699.6251152537</v>
      </c>
    </row>
    <row r="57" customFormat="false" ht="16.5" hidden="false" customHeight="true" outlineLevel="0" collapsed="false">
      <c r="B57" s="34" t="n">
        <v>44</v>
      </c>
      <c r="C57" s="35" t="n">
        <f aca="false">EDATE('Inputs &amp; Assumptions'!C8,44)</f>
        <v>46631</v>
      </c>
      <c r="D57" s="36" t="n">
        <f aca="false">H56</f>
        <v>81699.6251152537</v>
      </c>
      <c r="E57" s="37" t="n">
        <f aca="false">IF(44&lt;='Inputs &amp; Assumptions'!C9,'Inputs &amp; Assumptions'!C11,0)</f>
        <v>5000</v>
      </c>
      <c r="F57" s="36" t="n">
        <f aca="false">IF('Inputs &amp; Assumptions'!C12="Yes",MAX(D57-E57,0)*'Inputs &amp; Assumptions'!G5,D57*'Inputs &amp; Assumptions'!G5)</f>
        <v>383.498125576268</v>
      </c>
      <c r="G57" s="36" t="n">
        <f aca="false">E57-F57</f>
        <v>4616.50187442373</v>
      </c>
      <c r="H57" s="36" t="n">
        <f aca="false">MAX(D57-G57,0)</f>
        <v>77083.12324083</v>
      </c>
    </row>
    <row r="58" customFormat="false" ht="16.5" hidden="false" customHeight="true" outlineLevel="0" collapsed="false">
      <c r="B58" s="30" t="n">
        <v>45</v>
      </c>
      <c r="C58" s="31" t="n">
        <f aca="false">EDATE('Inputs &amp; Assumptions'!C8,45)</f>
        <v>46661</v>
      </c>
      <c r="D58" s="32" t="n">
        <f aca="false">H57</f>
        <v>77083.12324083</v>
      </c>
      <c r="E58" s="33" t="n">
        <f aca="false">IF(45&lt;='Inputs &amp; Assumptions'!C9,'Inputs &amp; Assumptions'!C11,0)</f>
        <v>5000</v>
      </c>
      <c r="F58" s="32" t="n">
        <f aca="false">IF('Inputs &amp; Assumptions'!C12="Yes",MAX(D58-E58,0)*'Inputs &amp; Assumptions'!G5,D58*'Inputs &amp; Assumptions'!G5)</f>
        <v>360.41561620415</v>
      </c>
      <c r="G58" s="32" t="n">
        <f aca="false">E58-F58</f>
        <v>4639.58438379585</v>
      </c>
      <c r="H58" s="32" t="n">
        <f aca="false">MAX(D58-G58,0)</f>
        <v>72443.5388570341</v>
      </c>
    </row>
    <row r="59" customFormat="false" ht="16.5" hidden="false" customHeight="true" outlineLevel="0" collapsed="false">
      <c r="B59" s="34" t="n">
        <v>46</v>
      </c>
      <c r="C59" s="35" t="n">
        <f aca="false">EDATE('Inputs &amp; Assumptions'!C8,46)</f>
        <v>46692</v>
      </c>
      <c r="D59" s="36" t="n">
        <f aca="false">H58</f>
        <v>72443.5388570341</v>
      </c>
      <c r="E59" s="37" t="n">
        <f aca="false">IF(46&lt;='Inputs &amp; Assumptions'!C9,'Inputs &amp; Assumptions'!C11,0)</f>
        <v>5000</v>
      </c>
      <c r="F59" s="36" t="n">
        <f aca="false">IF('Inputs &amp; Assumptions'!C12="Yes",MAX(D59-E59,0)*'Inputs &amp; Assumptions'!G5,D59*'Inputs &amp; Assumptions'!G5)</f>
        <v>337.217694285171</v>
      </c>
      <c r="G59" s="36" t="n">
        <f aca="false">E59-F59</f>
        <v>4662.78230571483</v>
      </c>
      <c r="H59" s="36" t="n">
        <f aca="false">MAX(D59-G59,0)</f>
        <v>67780.7565513193</v>
      </c>
    </row>
    <row r="60" customFormat="false" ht="16.5" hidden="false" customHeight="true" outlineLevel="0" collapsed="false">
      <c r="B60" s="30" t="n">
        <v>47</v>
      </c>
      <c r="C60" s="31" t="n">
        <f aca="false">EDATE('Inputs &amp; Assumptions'!C8,47)</f>
        <v>46722</v>
      </c>
      <c r="D60" s="32" t="n">
        <f aca="false">H59</f>
        <v>67780.7565513193</v>
      </c>
      <c r="E60" s="33" t="n">
        <f aca="false">IF(47&lt;='Inputs &amp; Assumptions'!C9,'Inputs &amp; Assumptions'!C11,0)</f>
        <v>5000</v>
      </c>
      <c r="F60" s="32" t="n">
        <f aca="false">IF('Inputs &amp; Assumptions'!C12="Yes",MAX(D60-E60,0)*'Inputs &amp; Assumptions'!G5,D60*'Inputs &amp; Assumptions'!G5)</f>
        <v>313.903782756596</v>
      </c>
      <c r="G60" s="32" t="n">
        <f aca="false">E60-F60</f>
        <v>4686.0962172434</v>
      </c>
      <c r="H60" s="32" t="n">
        <f aca="false">MAX(D60-G60,0)</f>
        <v>63094.6603340759</v>
      </c>
    </row>
    <row r="61" customFormat="false" ht="16.5" hidden="false" customHeight="true" outlineLevel="0" collapsed="false">
      <c r="B61" s="34" t="n">
        <v>48</v>
      </c>
      <c r="C61" s="35" t="n">
        <f aca="false">EDATE('Inputs &amp; Assumptions'!C8,48)</f>
        <v>46753</v>
      </c>
      <c r="D61" s="36" t="n">
        <f aca="false">H60</f>
        <v>63094.6603340759</v>
      </c>
      <c r="E61" s="37" t="n">
        <f aca="false">IF(48&lt;='Inputs &amp; Assumptions'!C9,'Inputs &amp; Assumptions'!C11,0)</f>
        <v>5000</v>
      </c>
      <c r="F61" s="36" t="n">
        <f aca="false">IF('Inputs &amp; Assumptions'!C12="Yes",MAX(D61-E61,0)*'Inputs &amp; Assumptions'!G5,D61*'Inputs &amp; Assumptions'!G5)</f>
        <v>290.473301670379</v>
      </c>
      <c r="G61" s="36" t="n">
        <f aca="false">E61-F61</f>
        <v>4709.52669832962</v>
      </c>
      <c r="H61" s="36" t="n">
        <f aca="false">MAX(D61-G61,0)</f>
        <v>58385.1336357462</v>
      </c>
    </row>
    <row r="62" customFormat="false" ht="16.5" hidden="false" customHeight="true" outlineLevel="0" collapsed="false">
      <c r="B62" s="30" t="n">
        <v>49</v>
      </c>
      <c r="C62" s="31" t="n">
        <f aca="false">EDATE('Inputs &amp; Assumptions'!C8,49)</f>
        <v>46784</v>
      </c>
      <c r="D62" s="32" t="n">
        <f aca="false">H61</f>
        <v>58385.1336357462</v>
      </c>
      <c r="E62" s="33" t="n">
        <f aca="false">IF(49&lt;='Inputs &amp; Assumptions'!C9,'Inputs &amp; Assumptions'!C11,0)</f>
        <v>5000</v>
      </c>
      <c r="F62" s="32" t="n">
        <f aca="false">IF('Inputs &amp; Assumptions'!C12="Yes",MAX(D62-E62,0)*'Inputs &amp; Assumptions'!G5,D62*'Inputs &amp; Assumptions'!G5)</f>
        <v>266.925668178731</v>
      </c>
      <c r="G62" s="32" t="n">
        <f aca="false">E62-F62</f>
        <v>4733.07433182127</v>
      </c>
      <c r="H62" s="32" t="n">
        <f aca="false">MAX(D62-G62,0)</f>
        <v>53652.059303925</v>
      </c>
    </row>
    <row r="63" customFormat="false" ht="16.5" hidden="false" customHeight="true" outlineLevel="0" collapsed="false">
      <c r="B63" s="34" t="n">
        <v>50</v>
      </c>
      <c r="C63" s="35" t="n">
        <f aca="false">EDATE('Inputs &amp; Assumptions'!C8,50)</f>
        <v>46813</v>
      </c>
      <c r="D63" s="36" t="n">
        <f aca="false">H62</f>
        <v>53652.059303925</v>
      </c>
      <c r="E63" s="37" t="n">
        <f aca="false">IF(50&lt;='Inputs &amp; Assumptions'!C9,'Inputs &amp; Assumptions'!C11,0)</f>
        <v>5000</v>
      </c>
      <c r="F63" s="36" t="n">
        <f aca="false">IF('Inputs &amp; Assumptions'!C12="Yes",MAX(D63-E63,0)*'Inputs &amp; Assumptions'!G5,D63*'Inputs &amp; Assumptions'!G5)</f>
        <v>243.260296519625</v>
      </c>
      <c r="G63" s="36" t="n">
        <f aca="false">E63-F63</f>
        <v>4756.73970348038</v>
      </c>
      <c r="H63" s="36" t="n">
        <f aca="false">MAX(D63-G63,0)</f>
        <v>48895.3196004446</v>
      </c>
    </row>
    <row r="64" customFormat="false" ht="16.5" hidden="false" customHeight="true" outlineLevel="0" collapsed="false">
      <c r="B64" s="30" t="n">
        <v>51</v>
      </c>
      <c r="C64" s="31" t="n">
        <f aca="false">EDATE('Inputs &amp; Assumptions'!C8,51)</f>
        <v>46844</v>
      </c>
      <c r="D64" s="32" t="n">
        <f aca="false">H63</f>
        <v>48895.3196004446</v>
      </c>
      <c r="E64" s="33" t="n">
        <f aca="false">IF(51&lt;='Inputs &amp; Assumptions'!C9,'Inputs &amp; Assumptions'!C11,0)</f>
        <v>5000</v>
      </c>
      <c r="F64" s="32" t="n">
        <f aca="false">IF('Inputs &amp; Assumptions'!C12="Yes",MAX(D64-E64,0)*'Inputs &amp; Assumptions'!G5,D64*'Inputs &amp; Assumptions'!G5)</f>
        <v>219.476598002223</v>
      </c>
      <c r="G64" s="32" t="n">
        <f aca="false">E64-F64</f>
        <v>4780.52340199778</v>
      </c>
      <c r="H64" s="32" t="n">
        <f aca="false">MAX(D64-G64,0)</f>
        <v>44114.7961984468</v>
      </c>
    </row>
    <row r="65" customFormat="false" ht="16.5" hidden="false" customHeight="true" outlineLevel="0" collapsed="false">
      <c r="B65" s="34" t="n">
        <v>52</v>
      </c>
      <c r="C65" s="35" t="n">
        <f aca="false">EDATE('Inputs &amp; Assumptions'!C8,52)</f>
        <v>46874</v>
      </c>
      <c r="D65" s="36" t="n">
        <f aca="false">H64</f>
        <v>44114.7961984468</v>
      </c>
      <c r="E65" s="37" t="n">
        <f aca="false">IF(52&lt;='Inputs &amp; Assumptions'!C9,'Inputs &amp; Assumptions'!C11,0)</f>
        <v>5000</v>
      </c>
      <c r="F65" s="36" t="n">
        <f aca="false">IF('Inputs &amp; Assumptions'!C12="Yes",MAX(D65-E65,0)*'Inputs &amp; Assumptions'!G5,D65*'Inputs &amp; Assumptions'!G5)</f>
        <v>195.573980992234</v>
      </c>
      <c r="G65" s="36" t="n">
        <f aca="false">E65-F65</f>
        <v>4804.42601900777</v>
      </c>
      <c r="H65" s="36" t="n">
        <f aca="false">MAX(D65-G65,0)</f>
        <v>39310.3701794391</v>
      </c>
    </row>
    <row r="66" customFormat="false" ht="16.5" hidden="false" customHeight="true" outlineLevel="0" collapsed="false">
      <c r="B66" s="30" t="n">
        <v>53</v>
      </c>
      <c r="C66" s="31" t="n">
        <f aca="false">EDATE('Inputs &amp; Assumptions'!C8,53)</f>
        <v>46905</v>
      </c>
      <c r="D66" s="32" t="n">
        <f aca="false">H65</f>
        <v>39310.3701794391</v>
      </c>
      <c r="E66" s="33" t="n">
        <f aca="false">IF(53&lt;='Inputs &amp; Assumptions'!C9,'Inputs &amp; Assumptions'!C11,0)</f>
        <v>5000</v>
      </c>
      <c r="F66" s="32" t="n">
        <f aca="false">IF('Inputs &amp; Assumptions'!C12="Yes",MAX(D66-E66,0)*'Inputs &amp; Assumptions'!G5,D66*'Inputs &amp; Assumptions'!G5)</f>
        <v>171.551850897195</v>
      </c>
      <c r="G66" s="32" t="n">
        <f aca="false">E66-F66</f>
        <v>4828.44814910281</v>
      </c>
      <c r="H66" s="32" t="n">
        <f aca="false">MAX(D66-G66,0)</f>
        <v>34481.9220303362</v>
      </c>
    </row>
    <row r="67" customFormat="false" ht="16.5" hidden="false" customHeight="true" outlineLevel="0" collapsed="false">
      <c r="B67" s="34" t="n">
        <v>54</v>
      </c>
      <c r="C67" s="35" t="n">
        <f aca="false">EDATE('Inputs &amp; Assumptions'!C8,54)</f>
        <v>46935</v>
      </c>
      <c r="D67" s="36" t="n">
        <f aca="false">H66</f>
        <v>34481.9220303362</v>
      </c>
      <c r="E67" s="37" t="n">
        <f aca="false">IF(54&lt;='Inputs &amp; Assumptions'!C9,'Inputs &amp; Assumptions'!C11,0)</f>
        <v>5000</v>
      </c>
      <c r="F67" s="36" t="n">
        <f aca="false">IF('Inputs &amp; Assumptions'!C12="Yes",MAX(D67-E67,0)*'Inputs &amp; Assumptions'!G5,D67*'Inputs &amp; Assumptions'!G5)</f>
        <v>147.409610151681</v>
      </c>
      <c r="G67" s="36" t="n">
        <f aca="false">E67-F67</f>
        <v>4852.59038984832</v>
      </c>
      <c r="H67" s="36" t="n">
        <f aca="false">MAX(D67-G67,0)</f>
        <v>29629.3316404879</v>
      </c>
    </row>
    <row r="68" customFormat="false" ht="16.5" hidden="false" customHeight="true" outlineLevel="0" collapsed="false">
      <c r="B68" s="30" t="n">
        <v>55</v>
      </c>
      <c r="C68" s="31" t="n">
        <f aca="false">EDATE('Inputs &amp; Assumptions'!C8,55)</f>
        <v>46966</v>
      </c>
      <c r="D68" s="32" t="n">
        <f aca="false">H67</f>
        <v>29629.3316404879</v>
      </c>
      <c r="E68" s="33" t="n">
        <f aca="false">IF(55&lt;='Inputs &amp; Assumptions'!C9,'Inputs &amp; Assumptions'!C11,0)</f>
        <v>5000</v>
      </c>
      <c r="F68" s="32" t="n">
        <f aca="false">IF('Inputs &amp; Assumptions'!C12="Yes",MAX(D68-E68,0)*'Inputs &amp; Assumptions'!G5,D68*'Inputs &amp; Assumptions'!G5)</f>
        <v>123.14665820244</v>
      </c>
      <c r="G68" s="32" t="n">
        <f aca="false">E68-F68</f>
        <v>4876.85334179756</v>
      </c>
      <c r="H68" s="32" t="n">
        <f aca="false">MAX(D68-G68,0)</f>
        <v>24752.4782986904</v>
      </c>
    </row>
    <row r="69" customFormat="false" ht="16.5" hidden="false" customHeight="true" outlineLevel="0" collapsed="false">
      <c r="B69" s="34" t="n">
        <v>56</v>
      </c>
      <c r="C69" s="35" t="n">
        <f aca="false">EDATE('Inputs &amp; Assumptions'!C8,56)</f>
        <v>46997</v>
      </c>
      <c r="D69" s="36" t="n">
        <f aca="false">H68</f>
        <v>24752.4782986904</v>
      </c>
      <c r="E69" s="37" t="n">
        <f aca="false">IF(56&lt;='Inputs &amp; Assumptions'!C9,'Inputs &amp; Assumptions'!C11,0)</f>
        <v>5000</v>
      </c>
      <c r="F69" s="36" t="n">
        <f aca="false">IF('Inputs &amp; Assumptions'!C12="Yes",MAX(D69-E69,0)*'Inputs &amp; Assumptions'!G5,D69*'Inputs &amp; Assumptions'!G5)</f>
        <v>98.7623914934518</v>
      </c>
      <c r="G69" s="36" t="n">
        <f aca="false">E69-F69</f>
        <v>4901.23760850655</v>
      </c>
      <c r="H69" s="36" t="n">
        <f aca="false">MAX(D69-G69,0)</f>
        <v>19851.2406901838</v>
      </c>
    </row>
    <row r="70" customFormat="false" ht="16.5" hidden="false" customHeight="true" outlineLevel="0" collapsed="false">
      <c r="B70" s="30" t="n">
        <v>57</v>
      </c>
      <c r="C70" s="31" t="n">
        <f aca="false">EDATE('Inputs &amp; Assumptions'!C8,57)</f>
        <v>47027</v>
      </c>
      <c r="D70" s="32" t="n">
        <f aca="false">H69</f>
        <v>19851.2406901838</v>
      </c>
      <c r="E70" s="33" t="n">
        <f aca="false">IF(57&lt;='Inputs &amp; Assumptions'!C9,'Inputs &amp; Assumptions'!C11,0)</f>
        <v>5000</v>
      </c>
      <c r="F70" s="32" t="n">
        <f aca="false">IF('Inputs &amp; Assumptions'!C12="Yes",MAX(D70-E70,0)*'Inputs &amp; Assumptions'!G5,D70*'Inputs &amp; Assumptions'!G5)</f>
        <v>74.2562034509191</v>
      </c>
      <c r="G70" s="32" t="n">
        <f aca="false">E70-F70</f>
        <v>4925.74379654908</v>
      </c>
      <c r="H70" s="32" t="n">
        <f aca="false">MAX(D70-G70,0)</f>
        <v>14925.4968936347</v>
      </c>
    </row>
    <row r="71" customFormat="false" ht="16.5" hidden="false" customHeight="true" outlineLevel="0" collapsed="false">
      <c r="B71" s="34" t="n">
        <v>58</v>
      </c>
      <c r="C71" s="35" t="n">
        <f aca="false">EDATE('Inputs &amp; Assumptions'!C8,58)</f>
        <v>47058</v>
      </c>
      <c r="D71" s="36" t="n">
        <f aca="false">H70</f>
        <v>14925.4968936347</v>
      </c>
      <c r="E71" s="37" t="n">
        <f aca="false">IF(58&lt;='Inputs &amp; Assumptions'!C9,'Inputs &amp; Assumptions'!C11,0)</f>
        <v>5000</v>
      </c>
      <c r="F71" s="36" t="n">
        <f aca="false">IF('Inputs &amp; Assumptions'!C12="Yes",MAX(D71-E71,0)*'Inputs &amp; Assumptions'!G5,D71*'Inputs &amp; Assumptions'!G5)</f>
        <v>49.6274844681737</v>
      </c>
      <c r="G71" s="36" t="n">
        <f aca="false">E71-F71</f>
        <v>4950.37251553183</v>
      </c>
      <c r="H71" s="36" t="n">
        <f aca="false">MAX(D71-G71,0)</f>
        <v>9975.12437810291</v>
      </c>
    </row>
    <row r="72" customFormat="false" ht="16.5" hidden="false" customHeight="true" outlineLevel="0" collapsed="false">
      <c r="B72" s="30" t="n">
        <v>59</v>
      </c>
      <c r="C72" s="31" t="n">
        <f aca="false">EDATE('Inputs &amp; Assumptions'!C8,59)</f>
        <v>47088</v>
      </c>
      <c r="D72" s="32" t="n">
        <f aca="false">H71</f>
        <v>9975.12437810291</v>
      </c>
      <c r="E72" s="33" t="n">
        <f aca="false">IF(59&lt;='Inputs &amp; Assumptions'!C9,'Inputs &amp; Assumptions'!C11,0)</f>
        <v>5000</v>
      </c>
      <c r="F72" s="32" t="n">
        <f aca="false">IF('Inputs &amp; Assumptions'!C12="Yes",MAX(D72-E72,0)*'Inputs &amp; Assumptions'!G5,D72*'Inputs &amp; Assumptions'!G5)</f>
        <v>24.8756218905146</v>
      </c>
      <c r="G72" s="32" t="n">
        <f aca="false">E72-F72</f>
        <v>4975.12437810949</v>
      </c>
      <c r="H72" s="32" t="n">
        <f aca="false">MAX(D72-G72,0)</f>
        <v>4999.99999999343</v>
      </c>
    </row>
    <row r="73" customFormat="false" ht="16.5" hidden="false" customHeight="true" outlineLevel="0" collapsed="false">
      <c r="B73" s="34" t="n">
        <v>60</v>
      </c>
      <c r="C73" s="35" t="n">
        <f aca="false">EDATE('Inputs &amp; Assumptions'!C8,60)</f>
        <v>47119</v>
      </c>
      <c r="D73" s="36" t="n">
        <f aca="false">H72</f>
        <v>4999.99999999343</v>
      </c>
      <c r="E73" s="37" t="n">
        <f aca="false">IF(60&lt;='Inputs &amp; Assumptions'!C9,'Inputs &amp; Assumptions'!C11,0)</f>
        <v>5000</v>
      </c>
      <c r="F73" s="36" t="n">
        <f aca="false">IF('Inputs &amp; Assumptions'!C12="Yes",MAX(D73-E73,0)*'Inputs &amp; Assumptions'!G5,D73*'Inputs &amp; Assumptions'!G5)</f>
        <v>0</v>
      </c>
      <c r="G73" s="36" t="n">
        <f aca="false">E73-F73</f>
        <v>5000</v>
      </c>
      <c r="H73" s="38" t="n">
        <f aca="false">MAX(D73-G73,0)</f>
        <v>0</v>
      </c>
    </row>
    <row r="74" customFormat="false" ht="19.5" hidden="false" customHeight="true" outlineLevel="0" collapsed="false">
      <c r="B74" s="39" t="s">
        <v>51</v>
      </c>
      <c r="C74" s="40"/>
      <c r="D74" s="40"/>
      <c r="E74" s="41" t="n">
        <f aca="false">SUM(D14:D73)</f>
        <v>8315811.44511208</v>
      </c>
      <c r="F74" s="41" t="n">
        <f aca="false">SUM(E14:E73)</f>
        <v>300000</v>
      </c>
      <c r="G74" s="41" t="n">
        <f aca="false">SUM(F14:F73)</f>
        <v>40079.0572255604</v>
      </c>
      <c r="H74" s="41" t="n">
        <f aca="false">SUM(G14:G73)</f>
        <v>259920.94277444</v>
      </c>
    </row>
    <row r="75" customFormat="false" ht="16.5" hidden="false" customHeight="true" outlineLevel="0" collapsed="false"/>
    <row r="76" customFormat="false" ht="16.5" hidden="false" customHeight="true" outlineLevel="0" collapsed="false"/>
    <row r="77" customFormat="false" ht="16.5" hidden="false" customHeight="true" outlineLevel="0" collapsed="false"/>
    <row r="78" customFormat="false" ht="16.5" hidden="false" customHeight="true" outlineLevel="0" collapsed="false"/>
    <row r="79" customFormat="false" ht="16.5" hidden="false" customHeight="true" outlineLevel="0" collapsed="false"/>
  </sheetData>
  <mergeCells count="3">
    <mergeCell ref="B1:H1"/>
    <mergeCell ref="B2:H2"/>
    <mergeCell ref="B3:H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4472C4"/>
    <pageSetUpPr fitToPage="false"/>
  </sheetPr>
  <dimension ref="B1:G7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2" topLeftCell="B13" activePane="bottomRight" state="frozen"/>
      <selection pane="topLeft" activeCell="A1" activeCellId="0" sqref="A1"/>
      <selection pane="topRight" activeCell="B1" activeCellId="0" sqref="B1"/>
      <selection pane="bottomLeft" activeCell="A13" activeCellId="0" sqref="A13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8"/>
    <col collapsed="false" customWidth="true" hidden="false" outlineLevel="0" max="3" min="3" style="0" width="18"/>
    <col collapsed="false" customWidth="true" hidden="false" outlineLevel="0" max="7" min="4" style="0" width="22"/>
    <col collapsed="false" customWidth="true" hidden="false" outlineLevel="0" max="8" min="8" style="0" width="2"/>
  </cols>
  <sheetData>
    <row r="1" customFormat="false" ht="45" hidden="false" customHeight="true" outlineLevel="0" collapsed="false">
      <c r="B1" s="19" t="s">
        <v>52</v>
      </c>
      <c r="C1" s="19"/>
      <c r="D1" s="19"/>
      <c r="E1" s="19"/>
      <c r="F1" s="19"/>
      <c r="G1" s="19"/>
    </row>
    <row r="2" customFormat="false" ht="12" hidden="false" customHeight="true" outlineLevel="0" collapsed="false">
      <c r="B2" s="20"/>
      <c r="C2" s="20"/>
      <c r="D2" s="20"/>
      <c r="E2" s="20"/>
      <c r="F2" s="20"/>
      <c r="G2" s="20"/>
    </row>
    <row r="3" customFormat="false" ht="16.5" hidden="false" customHeight="true" outlineLevel="0" collapsed="false">
      <c r="B3" s="21" t="s">
        <v>53</v>
      </c>
      <c r="C3" s="21"/>
      <c r="D3" s="21"/>
      <c r="E3" s="21"/>
      <c r="F3" s="21"/>
      <c r="G3" s="21"/>
    </row>
    <row r="4" customFormat="false" ht="16.5" hidden="false" customHeight="true" outlineLevel="0" collapsed="false">
      <c r="B4" s="5" t="s">
        <v>54</v>
      </c>
      <c r="C4" s="12" t="n">
        <f aca="false">'Inputs &amp; Assumptions'!G9</f>
        <v>259920.942774433</v>
      </c>
      <c r="D4" s="7"/>
      <c r="E4" s="7"/>
      <c r="F4" s="7"/>
      <c r="G4" s="7"/>
    </row>
    <row r="5" customFormat="false" ht="16.5" hidden="false" customHeight="true" outlineLevel="0" collapsed="false">
      <c r="B5" s="5" t="s">
        <v>55</v>
      </c>
      <c r="C5" s="9" t="n">
        <f aca="false">'Inputs &amp; Assumptions'!C9</f>
        <v>60</v>
      </c>
      <c r="D5" s="7"/>
      <c r="E5" s="7"/>
      <c r="F5" s="7"/>
      <c r="G5" s="7"/>
    </row>
    <row r="6" customFormat="false" ht="16.5" hidden="false" customHeight="true" outlineLevel="0" collapsed="false">
      <c r="B6" s="5" t="s">
        <v>56</v>
      </c>
      <c r="C6" s="42" t="n">
        <v>0</v>
      </c>
      <c r="D6" s="7"/>
      <c r="E6" s="7"/>
      <c r="F6" s="7"/>
      <c r="G6" s="7"/>
    </row>
    <row r="7" customFormat="false" ht="16.5" hidden="false" customHeight="true" outlineLevel="0" collapsed="false">
      <c r="B7" s="5" t="s">
        <v>57</v>
      </c>
      <c r="C7" s="23" t="s">
        <v>58</v>
      </c>
      <c r="D7" s="7"/>
      <c r="E7" s="7"/>
      <c r="F7" s="7"/>
      <c r="G7" s="7"/>
    </row>
    <row r="8" customFormat="false" ht="16.5" hidden="false" customHeight="true" outlineLevel="0" collapsed="false">
      <c r="B8" s="5" t="s">
        <v>59</v>
      </c>
      <c r="C8" s="12" t="n">
        <f aca="false">(C4-C6)/C5</f>
        <v>4332.01571290722</v>
      </c>
      <c r="D8" s="7"/>
      <c r="E8" s="7"/>
      <c r="F8" s="7"/>
      <c r="G8" s="7"/>
    </row>
    <row r="9" customFormat="false" ht="16.5" hidden="false" customHeight="true" outlineLevel="0" collapsed="false"/>
    <row r="10" customFormat="false" ht="27.75" hidden="false" customHeight="true" outlineLevel="0" collapsed="false">
      <c r="B10" s="24" t="s">
        <v>40</v>
      </c>
      <c r="C10" s="24" t="s">
        <v>41</v>
      </c>
      <c r="D10" s="24" t="s">
        <v>60</v>
      </c>
      <c r="E10" s="24" t="s">
        <v>61</v>
      </c>
      <c r="F10" s="24" t="s">
        <v>62</v>
      </c>
      <c r="G10" s="24" t="s">
        <v>63</v>
      </c>
    </row>
    <row r="11" customFormat="false" ht="13.5" hidden="false" customHeight="true" outlineLevel="0" collapsed="false">
      <c r="B11" s="25" t="s">
        <v>47</v>
      </c>
      <c r="C11" s="25" t="s">
        <v>48</v>
      </c>
      <c r="D11" s="25" t="s">
        <v>49</v>
      </c>
      <c r="E11" s="25" t="s">
        <v>49</v>
      </c>
      <c r="F11" s="25" t="s">
        <v>49</v>
      </c>
      <c r="G11" s="25" t="s">
        <v>49</v>
      </c>
    </row>
    <row r="12" customFormat="false" ht="18" hidden="false" customHeight="true" outlineLevel="0" collapsed="false">
      <c r="B12" s="26" t="s">
        <v>50</v>
      </c>
      <c r="C12" s="27" t="str">
        <f aca="false">'Inputs &amp; Assumptions'!C8</f>
        <v>2024-01-01</v>
      </c>
      <c r="D12" s="28"/>
      <c r="E12" s="28"/>
      <c r="F12" s="28"/>
      <c r="G12" s="29" t="n">
        <f aca="false">C4</f>
        <v>259920.942774433</v>
      </c>
    </row>
    <row r="13" customFormat="false" ht="16.5" hidden="false" customHeight="true" outlineLevel="0" collapsed="false">
      <c r="B13" s="30" t="n">
        <v>1</v>
      </c>
      <c r="C13" s="31" t="n">
        <f aca="false">EDATE('Inputs &amp; Assumptions'!C8,1)</f>
        <v>45323</v>
      </c>
      <c r="D13" s="32" t="n">
        <f aca="false">G12</f>
        <v>259920.942774433</v>
      </c>
      <c r="E13" s="32" t="n">
        <f aca="false">IF(1&lt;=C5,C8,0)</f>
        <v>4332.01571290722</v>
      </c>
      <c r="F13" s="33" t="n">
        <v>0</v>
      </c>
      <c r="G13" s="32" t="n">
        <f aca="false">MAX(D13-E13-F13,0)</f>
        <v>255588.927061526</v>
      </c>
    </row>
    <row r="14" customFormat="false" ht="16.5" hidden="false" customHeight="true" outlineLevel="0" collapsed="false">
      <c r="B14" s="34" t="n">
        <v>2</v>
      </c>
      <c r="C14" s="35" t="n">
        <f aca="false">EDATE('Inputs &amp; Assumptions'!C8,2)</f>
        <v>45352</v>
      </c>
      <c r="D14" s="36" t="n">
        <f aca="false">G13</f>
        <v>255588.927061526</v>
      </c>
      <c r="E14" s="36" t="n">
        <f aca="false">IF(2&lt;=C5,C8,0)</f>
        <v>4332.01571290722</v>
      </c>
      <c r="F14" s="37" t="n">
        <v>0</v>
      </c>
      <c r="G14" s="36" t="n">
        <f aca="false">MAX(D14-E14-F14,0)</f>
        <v>251256.911348619</v>
      </c>
    </row>
    <row r="15" customFormat="false" ht="16.5" hidden="false" customHeight="true" outlineLevel="0" collapsed="false">
      <c r="B15" s="30" t="n">
        <v>3</v>
      </c>
      <c r="C15" s="31" t="n">
        <f aca="false">EDATE('Inputs &amp; Assumptions'!C8,3)</f>
        <v>45383</v>
      </c>
      <c r="D15" s="32" t="n">
        <f aca="false">G14</f>
        <v>251256.911348619</v>
      </c>
      <c r="E15" s="32" t="n">
        <f aca="false">IF(3&lt;=C5,C8,0)</f>
        <v>4332.01571290722</v>
      </c>
      <c r="F15" s="33" t="n">
        <v>0</v>
      </c>
      <c r="G15" s="32" t="n">
        <f aca="false">MAX(D15-E15-F15,0)</f>
        <v>246924.895635711</v>
      </c>
    </row>
    <row r="16" customFormat="false" ht="16.5" hidden="false" customHeight="true" outlineLevel="0" collapsed="false">
      <c r="B16" s="34" t="n">
        <v>4</v>
      </c>
      <c r="C16" s="35" t="n">
        <f aca="false">EDATE('Inputs &amp; Assumptions'!C8,4)</f>
        <v>45413</v>
      </c>
      <c r="D16" s="36" t="n">
        <f aca="false">G15</f>
        <v>246924.895635711</v>
      </c>
      <c r="E16" s="36" t="n">
        <f aca="false">IF(4&lt;=C5,C8,0)</f>
        <v>4332.01571290722</v>
      </c>
      <c r="F16" s="37" t="n">
        <v>0</v>
      </c>
      <c r="G16" s="36" t="n">
        <f aca="false">MAX(D16-E16-F16,0)</f>
        <v>242592.879922804</v>
      </c>
    </row>
    <row r="17" customFormat="false" ht="16.5" hidden="false" customHeight="true" outlineLevel="0" collapsed="false">
      <c r="B17" s="30" t="n">
        <v>5</v>
      </c>
      <c r="C17" s="31" t="n">
        <f aca="false">EDATE('Inputs &amp; Assumptions'!C8,5)</f>
        <v>45444</v>
      </c>
      <c r="D17" s="32" t="n">
        <f aca="false">G16</f>
        <v>242592.879922804</v>
      </c>
      <c r="E17" s="32" t="n">
        <f aca="false">IF(5&lt;=C5,C8,0)</f>
        <v>4332.01571290722</v>
      </c>
      <c r="F17" s="33" t="n">
        <v>0</v>
      </c>
      <c r="G17" s="32" t="n">
        <f aca="false">MAX(D17-E17-F17,0)</f>
        <v>238260.864209897</v>
      </c>
    </row>
    <row r="18" customFormat="false" ht="16.5" hidden="false" customHeight="true" outlineLevel="0" collapsed="false">
      <c r="B18" s="34" t="n">
        <v>6</v>
      </c>
      <c r="C18" s="35" t="n">
        <f aca="false">EDATE('Inputs &amp; Assumptions'!C8,6)</f>
        <v>45474</v>
      </c>
      <c r="D18" s="36" t="n">
        <f aca="false">G17</f>
        <v>238260.864209897</v>
      </c>
      <c r="E18" s="36" t="n">
        <f aca="false">IF(6&lt;=C5,C8,0)</f>
        <v>4332.01571290722</v>
      </c>
      <c r="F18" s="37" t="n">
        <v>0</v>
      </c>
      <c r="G18" s="36" t="n">
        <f aca="false">MAX(D18-E18-F18,0)</f>
        <v>233928.84849699</v>
      </c>
    </row>
    <row r="19" customFormat="false" ht="16.5" hidden="false" customHeight="true" outlineLevel="0" collapsed="false">
      <c r="B19" s="30" t="n">
        <v>7</v>
      </c>
      <c r="C19" s="31" t="n">
        <f aca="false">EDATE('Inputs &amp; Assumptions'!C8,7)</f>
        <v>45505</v>
      </c>
      <c r="D19" s="32" t="n">
        <f aca="false">G18</f>
        <v>233928.84849699</v>
      </c>
      <c r="E19" s="32" t="n">
        <f aca="false">IF(7&lt;=C5,C8,0)</f>
        <v>4332.01571290722</v>
      </c>
      <c r="F19" s="33" t="n">
        <v>0</v>
      </c>
      <c r="G19" s="32" t="n">
        <f aca="false">MAX(D19-E19-F19,0)</f>
        <v>229596.832784083</v>
      </c>
    </row>
    <row r="20" customFormat="false" ht="16.5" hidden="false" customHeight="true" outlineLevel="0" collapsed="false">
      <c r="B20" s="34" t="n">
        <v>8</v>
      </c>
      <c r="C20" s="35" t="n">
        <f aca="false">EDATE('Inputs &amp; Assumptions'!C8,8)</f>
        <v>45536</v>
      </c>
      <c r="D20" s="36" t="n">
        <f aca="false">G19</f>
        <v>229596.832784083</v>
      </c>
      <c r="E20" s="36" t="n">
        <f aca="false">IF(8&lt;=C5,C8,0)</f>
        <v>4332.01571290722</v>
      </c>
      <c r="F20" s="37" t="n">
        <v>0</v>
      </c>
      <c r="G20" s="36" t="n">
        <f aca="false">MAX(D20-E20-F20,0)</f>
        <v>225264.817071175</v>
      </c>
    </row>
    <row r="21" customFormat="false" ht="16.5" hidden="false" customHeight="true" outlineLevel="0" collapsed="false">
      <c r="B21" s="30" t="n">
        <v>9</v>
      </c>
      <c r="C21" s="31" t="n">
        <f aca="false">EDATE('Inputs &amp; Assumptions'!C8,9)</f>
        <v>45566</v>
      </c>
      <c r="D21" s="32" t="n">
        <f aca="false">G20</f>
        <v>225264.817071175</v>
      </c>
      <c r="E21" s="32" t="n">
        <f aca="false">IF(9&lt;=C5,C8,0)</f>
        <v>4332.01571290722</v>
      </c>
      <c r="F21" s="33" t="n">
        <v>0</v>
      </c>
      <c r="G21" s="32" t="n">
        <f aca="false">MAX(D21-E21-F21,0)</f>
        <v>220932.801358268</v>
      </c>
    </row>
    <row r="22" customFormat="false" ht="16.5" hidden="false" customHeight="true" outlineLevel="0" collapsed="false">
      <c r="B22" s="34" t="n">
        <v>10</v>
      </c>
      <c r="C22" s="35" t="n">
        <f aca="false">EDATE('Inputs &amp; Assumptions'!C8,10)</f>
        <v>45597</v>
      </c>
      <c r="D22" s="36" t="n">
        <f aca="false">G21</f>
        <v>220932.801358268</v>
      </c>
      <c r="E22" s="36" t="n">
        <f aca="false">IF(10&lt;=C5,C8,0)</f>
        <v>4332.01571290722</v>
      </c>
      <c r="F22" s="37" t="n">
        <v>0</v>
      </c>
      <c r="G22" s="36" t="n">
        <f aca="false">MAX(D22-E22-F22,0)</f>
        <v>216600.785645361</v>
      </c>
    </row>
    <row r="23" customFormat="false" ht="16.5" hidden="false" customHeight="true" outlineLevel="0" collapsed="false">
      <c r="B23" s="30" t="n">
        <v>11</v>
      </c>
      <c r="C23" s="31" t="n">
        <f aca="false">EDATE('Inputs &amp; Assumptions'!C8,11)</f>
        <v>45627</v>
      </c>
      <c r="D23" s="32" t="n">
        <f aca="false">G22</f>
        <v>216600.785645361</v>
      </c>
      <c r="E23" s="32" t="n">
        <f aca="false">IF(11&lt;=C5,C8,0)</f>
        <v>4332.01571290722</v>
      </c>
      <c r="F23" s="33" t="n">
        <v>0</v>
      </c>
      <c r="G23" s="32" t="n">
        <f aca="false">MAX(D23-E23-F23,0)</f>
        <v>212268.769932454</v>
      </c>
    </row>
    <row r="24" customFormat="false" ht="16.5" hidden="false" customHeight="true" outlineLevel="0" collapsed="false">
      <c r="B24" s="34" t="n">
        <v>12</v>
      </c>
      <c r="C24" s="35" t="n">
        <f aca="false">EDATE('Inputs &amp; Assumptions'!C8,12)</f>
        <v>45658</v>
      </c>
      <c r="D24" s="36" t="n">
        <f aca="false">G23</f>
        <v>212268.769932454</v>
      </c>
      <c r="E24" s="36" t="n">
        <f aca="false">IF(12&lt;=C5,C8,0)</f>
        <v>4332.01571290722</v>
      </c>
      <c r="F24" s="37" t="n">
        <v>0</v>
      </c>
      <c r="G24" s="36" t="n">
        <f aca="false">MAX(D24-E24-F24,0)</f>
        <v>207936.754219547</v>
      </c>
    </row>
    <row r="25" customFormat="false" ht="16.5" hidden="false" customHeight="true" outlineLevel="0" collapsed="false">
      <c r="B25" s="30" t="n">
        <v>13</v>
      </c>
      <c r="C25" s="31" t="n">
        <f aca="false">EDATE('Inputs &amp; Assumptions'!C8,13)</f>
        <v>45689</v>
      </c>
      <c r="D25" s="32" t="n">
        <f aca="false">G24</f>
        <v>207936.754219547</v>
      </c>
      <c r="E25" s="32" t="n">
        <f aca="false">IF(13&lt;=C5,C8,0)</f>
        <v>4332.01571290722</v>
      </c>
      <c r="F25" s="33" t="n">
        <v>0</v>
      </c>
      <c r="G25" s="32" t="n">
        <f aca="false">MAX(D25-E25-F25,0)</f>
        <v>203604.738506639</v>
      </c>
    </row>
    <row r="26" customFormat="false" ht="16.5" hidden="false" customHeight="true" outlineLevel="0" collapsed="false">
      <c r="B26" s="34" t="n">
        <v>14</v>
      </c>
      <c r="C26" s="35" t="n">
        <f aca="false">EDATE('Inputs &amp; Assumptions'!C8,14)</f>
        <v>45717</v>
      </c>
      <c r="D26" s="36" t="n">
        <f aca="false">G25</f>
        <v>203604.738506639</v>
      </c>
      <c r="E26" s="36" t="n">
        <f aca="false">IF(14&lt;=C5,C8,0)</f>
        <v>4332.01571290722</v>
      </c>
      <c r="F26" s="37" t="n">
        <v>0</v>
      </c>
      <c r="G26" s="36" t="n">
        <f aca="false">MAX(D26-E26-F26,0)</f>
        <v>199272.722793732</v>
      </c>
    </row>
    <row r="27" customFormat="false" ht="16.5" hidden="false" customHeight="true" outlineLevel="0" collapsed="false">
      <c r="B27" s="30" t="n">
        <v>15</v>
      </c>
      <c r="C27" s="31" t="n">
        <f aca="false">EDATE('Inputs &amp; Assumptions'!C8,15)</f>
        <v>45748</v>
      </c>
      <c r="D27" s="32" t="n">
        <f aca="false">G26</f>
        <v>199272.722793732</v>
      </c>
      <c r="E27" s="32" t="n">
        <f aca="false">IF(15&lt;=C5,C8,0)</f>
        <v>4332.01571290722</v>
      </c>
      <c r="F27" s="33" t="n">
        <v>0</v>
      </c>
      <c r="G27" s="32" t="n">
        <f aca="false">MAX(D27-E27-F27,0)</f>
        <v>194940.707080825</v>
      </c>
    </row>
    <row r="28" customFormat="false" ht="16.5" hidden="false" customHeight="true" outlineLevel="0" collapsed="false">
      <c r="B28" s="34" t="n">
        <v>16</v>
      </c>
      <c r="C28" s="35" t="n">
        <f aca="false">EDATE('Inputs &amp; Assumptions'!C8,16)</f>
        <v>45778</v>
      </c>
      <c r="D28" s="36" t="n">
        <f aca="false">G27</f>
        <v>194940.707080825</v>
      </c>
      <c r="E28" s="36" t="n">
        <f aca="false">IF(16&lt;=C5,C8,0)</f>
        <v>4332.01571290722</v>
      </c>
      <c r="F28" s="37" t="n">
        <v>0</v>
      </c>
      <c r="G28" s="36" t="n">
        <f aca="false">MAX(D28-E28-F28,0)</f>
        <v>190608.691367918</v>
      </c>
    </row>
    <row r="29" customFormat="false" ht="16.5" hidden="false" customHeight="true" outlineLevel="0" collapsed="false">
      <c r="B29" s="30" t="n">
        <v>17</v>
      </c>
      <c r="C29" s="31" t="n">
        <f aca="false">EDATE('Inputs &amp; Assumptions'!C8,17)</f>
        <v>45809</v>
      </c>
      <c r="D29" s="32" t="n">
        <f aca="false">G28</f>
        <v>190608.691367918</v>
      </c>
      <c r="E29" s="32" t="n">
        <f aca="false">IF(17&lt;=C5,C8,0)</f>
        <v>4332.01571290722</v>
      </c>
      <c r="F29" s="33" t="n">
        <v>0</v>
      </c>
      <c r="G29" s="32" t="n">
        <f aca="false">MAX(D29-E29-F29,0)</f>
        <v>186276.67565501</v>
      </c>
    </row>
    <row r="30" customFormat="false" ht="16.5" hidden="false" customHeight="true" outlineLevel="0" collapsed="false">
      <c r="B30" s="34" t="n">
        <v>18</v>
      </c>
      <c r="C30" s="35" t="n">
        <f aca="false">EDATE('Inputs &amp; Assumptions'!C8,18)</f>
        <v>45839</v>
      </c>
      <c r="D30" s="36" t="n">
        <f aca="false">G29</f>
        <v>186276.67565501</v>
      </c>
      <c r="E30" s="36" t="n">
        <f aca="false">IF(18&lt;=C5,C8,0)</f>
        <v>4332.01571290722</v>
      </c>
      <c r="F30" s="37" t="n">
        <v>0</v>
      </c>
      <c r="G30" s="36" t="n">
        <f aca="false">MAX(D30-E30-F30,0)</f>
        <v>181944.659942103</v>
      </c>
    </row>
    <row r="31" customFormat="false" ht="16.5" hidden="false" customHeight="true" outlineLevel="0" collapsed="false">
      <c r="B31" s="30" t="n">
        <v>19</v>
      </c>
      <c r="C31" s="31" t="n">
        <f aca="false">EDATE('Inputs &amp; Assumptions'!C8,19)</f>
        <v>45870</v>
      </c>
      <c r="D31" s="32" t="n">
        <f aca="false">G30</f>
        <v>181944.659942103</v>
      </c>
      <c r="E31" s="32" t="n">
        <f aca="false">IF(19&lt;=C5,C8,0)</f>
        <v>4332.01571290722</v>
      </c>
      <c r="F31" s="33" t="n">
        <v>0</v>
      </c>
      <c r="G31" s="32" t="n">
        <f aca="false">MAX(D31-E31-F31,0)</f>
        <v>177612.644229196</v>
      </c>
    </row>
    <row r="32" customFormat="false" ht="16.5" hidden="false" customHeight="true" outlineLevel="0" collapsed="false">
      <c r="B32" s="34" t="n">
        <v>20</v>
      </c>
      <c r="C32" s="35" t="n">
        <f aca="false">EDATE('Inputs &amp; Assumptions'!C8,20)</f>
        <v>45901</v>
      </c>
      <c r="D32" s="36" t="n">
        <f aca="false">G31</f>
        <v>177612.644229196</v>
      </c>
      <c r="E32" s="36" t="n">
        <f aca="false">IF(20&lt;=C5,C8,0)</f>
        <v>4332.01571290722</v>
      </c>
      <c r="F32" s="37" t="n">
        <v>0</v>
      </c>
      <c r="G32" s="36" t="n">
        <f aca="false">MAX(D32-E32-F32,0)</f>
        <v>173280.628516289</v>
      </c>
    </row>
    <row r="33" customFormat="false" ht="16.5" hidden="false" customHeight="true" outlineLevel="0" collapsed="false">
      <c r="B33" s="30" t="n">
        <v>21</v>
      </c>
      <c r="C33" s="31" t="n">
        <f aca="false">EDATE('Inputs &amp; Assumptions'!C8,21)</f>
        <v>45931</v>
      </c>
      <c r="D33" s="32" t="n">
        <f aca="false">G32</f>
        <v>173280.628516289</v>
      </c>
      <c r="E33" s="32" t="n">
        <f aca="false">IF(21&lt;=C5,C8,0)</f>
        <v>4332.01571290722</v>
      </c>
      <c r="F33" s="33" t="n">
        <v>0</v>
      </c>
      <c r="G33" s="32" t="n">
        <f aca="false">MAX(D33-E33-F33,0)</f>
        <v>168948.612803382</v>
      </c>
    </row>
    <row r="34" customFormat="false" ht="16.5" hidden="false" customHeight="true" outlineLevel="0" collapsed="false">
      <c r="B34" s="34" t="n">
        <v>22</v>
      </c>
      <c r="C34" s="35" t="n">
        <f aca="false">EDATE('Inputs &amp; Assumptions'!C8,22)</f>
        <v>45962</v>
      </c>
      <c r="D34" s="36" t="n">
        <f aca="false">G33</f>
        <v>168948.612803382</v>
      </c>
      <c r="E34" s="36" t="n">
        <f aca="false">IF(22&lt;=C5,C8,0)</f>
        <v>4332.01571290722</v>
      </c>
      <c r="F34" s="37" t="n">
        <v>0</v>
      </c>
      <c r="G34" s="36" t="n">
        <f aca="false">MAX(D34-E34-F34,0)</f>
        <v>164616.597090474</v>
      </c>
    </row>
    <row r="35" customFormat="false" ht="16.5" hidden="false" customHeight="true" outlineLevel="0" collapsed="false">
      <c r="B35" s="30" t="n">
        <v>23</v>
      </c>
      <c r="C35" s="31" t="n">
        <f aca="false">EDATE('Inputs &amp; Assumptions'!C8,23)</f>
        <v>45992</v>
      </c>
      <c r="D35" s="32" t="n">
        <f aca="false">G34</f>
        <v>164616.597090474</v>
      </c>
      <c r="E35" s="32" t="n">
        <f aca="false">IF(23&lt;=C5,C8,0)</f>
        <v>4332.01571290722</v>
      </c>
      <c r="F35" s="33" t="n">
        <v>0</v>
      </c>
      <c r="G35" s="32" t="n">
        <f aca="false">MAX(D35-E35-F35,0)</f>
        <v>160284.581377567</v>
      </c>
    </row>
    <row r="36" customFormat="false" ht="16.5" hidden="false" customHeight="true" outlineLevel="0" collapsed="false">
      <c r="B36" s="34" t="n">
        <v>24</v>
      </c>
      <c r="C36" s="35" t="n">
        <f aca="false">EDATE('Inputs &amp; Assumptions'!C8,24)</f>
        <v>46023</v>
      </c>
      <c r="D36" s="36" t="n">
        <f aca="false">G35</f>
        <v>160284.581377567</v>
      </c>
      <c r="E36" s="36" t="n">
        <f aca="false">IF(24&lt;=C5,C8,0)</f>
        <v>4332.01571290722</v>
      </c>
      <c r="F36" s="37" t="n">
        <v>0</v>
      </c>
      <c r="G36" s="36" t="n">
        <f aca="false">MAX(D36-E36-F36,0)</f>
        <v>155952.56566466</v>
      </c>
    </row>
    <row r="37" customFormat="false" ht="16.5" hidden="false" customHeight="true" outlineLevel="0" collapsed="false">
      <c r="B37" s="30" t="n">
        <v>25</v>
      </c>
      <c r="C37" s="31" t="n">
        <f aca="false">EDATE('Inputs &amp; Assumptions'!C8,25)</f>
        <v>46054</v>
      </c>
      <c r="D37" s="32" t="n">
        <f aca="false">G36</f>
        <v>155952.56566466</v>
      </c>
      <c r="E37" s="32" t="n">
        <f aca="false">IF(25&lt;=C5,C8,0)</f>
        <v>4332.01571290722</v>
      </c>
      <c r="F37" s="33" t="n">
        <v>0</v>
      </c>
      <c r="G37" s="32" t="n">
        <f aca="false">MAX(D37-E37-F37,0)</f>
        <v>151620.549951753</v>
      </c>
    </row>
    <row r="38" customFormat="false" ht="16.5" hidden="false" customHeight="true" outlineLevel="0" collapsed="false">
      <c r="B38" s="34" t="n">
        <v>26</v>
      </c>
      <c r="C38" s="35" t="n">
        <f aca="false">EDATE('Inputs &amp; Assumptions'!C8,26)</f>
        <v>46082</v>
      </c>
      <c r="D38" s="36" t="n">
        <f aca="false">G37</f>
        <v>151620.549951753</v>
      </c>
      <c r="E38" s="36" t="n">
        <f aca="false">IF(26&lt;=C5,C8,0)</f>
        <v>4332.01571290722</v>
      </c>
      <c r="F38" s="37" t="n">
        <v>0</v>
      </c>
      <c r="G38" s="36" t="n">
        <f aca="false">MAX(D38-E38-F38,0)</f>
        <v>147288.534238845</v>
      </c>
    </row>
    <row r="39" customFormat="false" ht="16.5" hidden="false" customHeight="true" outlineLevel="0" collapsed="false">
      <c r="B39" s="30" t="n">
        <v>27</v>
      </c>
      <c r="C39" s="31" t="n">
        <f aca="false">EDATE('Inputs &amp; Assumptions'!C8,27)</f>
        <v>46113</v>
      </c>
      <c r="D39" s="32" t="n">
        <f aca="false">G38</f>
        <v>147288.534238845</v>
      </c>
      <c r="E39" s="32" t="n">
        <f aca="false">IF(27&lt;=C5,C8,0)</f>
        <v>4332.01571290722</v>
      </c>
      <c r="F39" s="33" t="n">
        <v>0</v>
      </c>
      <c r="G39" s="32" t="n">
        <f aca="false">MAX(D39-E39-F39,0)</f>
        <v>142956.518525938</v>
      </c>
    </row>
    <row r="40" customFormat="false" ht="16.5" hidden="false" customHeight="true" outlineLevel="0" collapsed="false">
      <c r="B40" s="34" t="n">
        <v>28</v>
      </c>
      <c r="C40" s="35" t="n">
        <f aca="false">EDATE('Inputs &amp; Assumptions'!C8,28)</f>
        <v>46143</v>
      </c>
      <c r="D40" s="36" t="n">
        <f aca="false">G39</f>
        <v>142956.518525938</v>
      </c>
      <c r="E40" s="36" t="n">
        <f aca="false">IF(28&lt;=C5,C8,0)</f>
        <v>4332.01571290722</v>
      </c>
      <c r="F40" s="37" t="n">
        <v>0</v>
      </c>
      <c r="G40" s="36" t="n">
        <f aca="false">MAX(D40-E40-F40,0)</f>
        <v>138624.502813031</v>
      </c>
    </row>
    <row r="41" customFormat="false" ht="16.5" hidden="false" customHeight="true" outlineLevel="0" collapsed="false">
      <c r="B41" s="30" t="n">
        <v>29</v>
      </c>
      <c r="C41" s="31" t="n">
        <f aca="false">EDATE('Inputs &amp; Assumptions'!C8,29)</f>
        <v>46174</v>
      </c>
      <c r="D41" s="32" t="n">
        <f aca="false">G40</f>
        <v>138624.502813031</v>
      </c>
      <c r="E41" s="32" t="n">
        <f aca="false">IF(29&lt;=C5,C8,0)</f>
        <v>4332.01571290722</v>
      </c>
      <c r="F41" s="33" t="n">
        <v>0</v>
      </c>
      <c r="G41" s="32" t="n">
        <f aca="false">MAX(D41-E41-F41,0)</f>
        <v>134292.487100124</v>
      </c>
    </row>
    <row r="42" customFormat="false" ht="16.5" hidden="false" customHeight="true" outlineLevel="0" collapsed="false">
      <c r="B42" s="34" t="n">
        <v>30</v>
      </c>
      <c r="C42" s="35" t="n">
        <f aca="false">EDATE('Inputs &amp; Assumptions'!C8,30)</f>
        <v>46204</v>
      </c>
      <c r="D42" s="36" t="n">
        <f aca="false">G41</f>
        <v>134292.487100124</v>
      </c>
      <c r="E42" s="36" t="n">
        <f aca="false">IF(30&lt;=C5,C8,0)</f>
        <v>4332.01571290722</v>
      </c>
      <c r="F42" s="37" t="n">
        <v>0</v>
      </c>
      <c r="G42" s="36" t="n">
        <f aca="false">MAX(D42-E42-F42,0)</f>
        <v>129960.471387217</v>
      </c>
    </row>
    <row r="43" customFormat="false" ht="16.5" hidden="false" customHeight="true" outlineLevel="0" collapsed="false">
      <c r="B43" s="30" t="n">
        <v>31</v>
      </c>
      <c r="C43" s="31" t="n">
        <f aca="false">EDATE('Inputs &amp; Assumptions'!C8,31)</f>
        <v>46235</v>
      </c>
      <c r="D43" s="32" t="n">
        <f aca="false">G42</f>
        <v>129960.471387217</v>
      </c>
      <c r="E43" s="32" t="n">
        <f aca="false">IF(31&lt;=C5,C8,0)</f>
        <v>4332.01571290722</v>
      </c>
      <c r="F43" s="33" t="n">
        <v>0</v>
      </c>
      <c r="G43" s="32" t="n">
        <f aca="false">MAX(D43-E43-F43,0)</f>
        <v>125628.455674309</v>
      </c>
    </row>
    <row r="44" customFormat="false" ht="16.5" hidden="false" customHeight="true" outlineLevel="0" collapsed="false">
      <c r="B44" s="34" t="n">
        <v>32</v>
      </c>
      <c r="C44" s="35" t="n">
        <f aca="false">EDATE('Inputs &amp; Assumptions'!C8,32)</f>
        <v>46266</v>
      </c>
      <c r="D44" s="36" t="n">
        <f aca="false">G43</f>
        <v>125628.455674309</v>
      </c>
      <c r="E44" s="36" t="n">
        <f aca="false">IF(32&lt;=C5,C8,0)</f>
        <v>4332.01571290722</v>
      </c>
      <c r="F44" s="37" t="n">
        <v>0</v>
      </c>
      <c r="G44" s="36" t="n">
        <f aca="false">MAX(D44-E44-F44,0)</f>
        <v>121296.439961402</v>
      </c>
    </row>
    <row r="45" customFormat="false" ht="16.5" hidden="false" customHeight="true" outlineLevel="0" collapsed="false">
      <c r="B45" s="30" t="n">
        <v>33</v>
      </c>
      <c r="C45" s="31" t="n">
        <f aca="false">EDATE('Inputs &amp; Assumptions'!C8,33)</f>
        <v>46296</v>
      </c>
      <c r="D45" s="32" t="n">
        <f aca="false">G44</f>
        <v>121296.439961402</v>
      </c>
      <c r="E45" s="32" t="n">
        <f aca="false">IF(33&lt;=C5,C8,0)</f>
        <v>4332.01571290722</v>
      </c>
      <c r="F45" s="33" t="n">
        <v>0</v>
      </c>
      <c r="G45" s="32" t="n">
        <f aca="false">MAX(D45-E45-F45,0)</f>
        <v>116964.424248495</v>
      </c>
    </row>
    <row r="46" customFormat="false" ht="16.5" hidden="false" customHeight="true" outlineLevel="0" collapsed="false">
      <c r="B46" s="34" t="n">
        <v>34</v>
      </c>
      <c r="C46" s="35" t="n">
        <f aca="false">EDATE('Inputs &amp; Assumptions'!C8,34)</f>
        <v>46327</v>
      </c>
      <c r="D46" s="36" t="n">
        <f aca="false">G45</f>
        <v>116964.424248495</v>
      </c>
      <c r="E46" s="36" t="n">
        <f aca="false">IF(34&lt;=C5,C8,0)</f>
        <v>4332.01571290722</v>
      </c>
      <c r="F46" s="37" t="n">
        <v>0</v>
      </c>
      <c r="G46" s="36" t="n">
        <f aca="false">MAX(D46-E46-F46,0)</f>
        <v>112632.408535588</v>
      </c>
    </row>
    <row r="47" customFormat="false" ht="16.5" hidden="false" customHeight="true" outlineLevel="0" collapsed="false">
      <c r="B47" s="30" t="n">
        <v>35</v>
      </c>
      <c r="C47" s="31" t="n">
        <f aca="false">EDATE('Inputs &amp; Assumptions'!C8,35)</f>
        <v>46357</v>
      </c>
      <c r="D47" s="32" t="n">
        <f aca="false">G46</f>
        <v>112632.408535588</v>
      </c>
      <c r="E47" s="32" t="n">
        <f aca="false">IF(35&lt;=C5,C8,0)</f>
        <v>4332.01571290722</v>
      </c>
      <c r="F47" s="33" t="n">
        <v>0</v>
      </c>
      <c r="G47" s="32" t="n">
        <f aca="false">MAX(D47-E47-F47,0)</f>
        <v>108300.392822681</v>
      </c>
    </row>
    <row r="48" customFormat="false" ht="16.5" hidden="false" customHeight="true" outlineLevel="0" collapsed="false">
      <c r="B48" s="34" t="n">
        <v>36</v>
      </c>
      <c r="C48" s="35" t="n">
        <f aca="false">EDATE('Inputs &amp; Assumptions'!C8,36)</f>
        <v>46388</v>
      </c>
      <c r="D48" s="36" t="n">
        <f aca="false">G47</f>
        <v>108300.392822681</v>
      </c>
      <c r="E48" s="36" t="n">
        <f aca="false">IF(36&lt;=C5,C8,0)</f>
        <v>4332.01571290722</v>
      </c>
      <c r="F48" s="37" t="n">
        <v>0</v>
      </c>
      <c r="G48" s="36" t="n">
        <f aca="false">MAX(D48-E48-F48,0)</f>
        <v>103968.377109773</v>
      </c>
    </row>
    <row r="49" customFormat="false" ht="16.5" hidden="false" customHeight="true" outlineLevel="0" collapsed="false">
      <c r="B49" s="30" t="n">
        <v>37</v>
      </c>
      <c r="C49" s="31" t="n">
        <f aca="false">EDATE('Inputs &amp; Assumptions'!C8,37)</f>
        <v>46419</v>
      </c>
      <c r="D49" s="32" t="n">
        <f aca="false">G48</f>
        <v>103968.377109773</v>
      </c>
      <c r="E49" s="32" t="n">
        <f aca="false">IF(37&lt;=C5,C8,0)</f>
        <v>4332.01571290722</v>
      </c>
      <c r="F49" s="33" t="n">
        <v>0</v>
      </c>
      <c r="G49" s="32" t="n">
        <f aca="false">MAX(D49-E49-F49,0)</f>
        <v>99636.3613968661</v>
      </c>
    </row>
    <row r="50" customFormat="false" ht="16.5" hidden="false" customHeight="true" outlineLevel="0" collapsed="false">
      <c r="B50" s="34" t="n">
        <v>38</v>
      </c>
      <c r="C50" s="35" t="n">
        <f aca="false">EDATE('Inputs &amp; Assumptions'!C8,38)</f>
        <v>46447</v>
      </c>
      <c r="D50" s="36" t="n">
        <f aca="false">G49</f>
        <v>99636.3613968661</v>
      </c>
      <c r="E50" s="36" t="n">
        <f aca="false">IF(38&lt;=C5,C8,0)</f>
        <v>4332.01571290722</v>
      </c>
      <c r="F50" s="37" t="n">
        <v>0</v>
      </c>
      <c r="G50" s="36" t="n">
        <f aca="false">MAX(D50-E50-F50,0)</f>
        <v>95304.3456839589</v>
      </c>
    </row>
    <row r="51" customFormat="false" ht="16.5" hidden="false" customHeight="true" outlineLevel="0" collapsed="false">
      <c r="B51" s="30" t="n">
        <v>39</v>
      </c>
      <c r="C51" s="31" t="n">
        <f aca="false">EDATE('Inputs &amp; Assumptions'!C8,39)</f>
        <v>46478</v>
      </c>
      <c r="D51" s="32" t="n">
        <f aca="false">G50</f>
        <v>95304.3456839589</v>
      </c>
      <c r="E51" s="32" t="n">
        <f aca="false">IF(39&lt;=C5,C8,0)</f>
        <v>4332.01571290722</v>
      </c>
      <c r="F51" s="33" t="n">
        <v>0</v>
      </c>
      <c r="G51" s="32" t="n">
        <f aca="false">MAX(D51-E51-F51,0)</f>
        <v>90972.3299710516</v>
      </c>
    </row>
    <row r="52" customFormat="false" ht="16.5" hidden="false" customHeight="true" outlineLevel="0" collapsed="false">
      <c r="B52" s="34" t="n">
        <v>40</v>
      </c>
      <c r="C52" s="35" t="n">
        <f aca="false">EDATE('Inputs &amp; Assumptions'!C8,40)</f>
        <v>46508</v>
      </c>
      <c r="D52" s="36" t="n">
        <f aca="false">G51</f>
        <v>90972.3299710516</v>
      </c>
      <c r="E52" s="36" t="n">
        <f aca="false">IF(40&lt;=C5,C8,0)</f>
        <v>4332.01571290722</v>
      </c>
      <c r="F52" s="37" t="n">
        <v>0</v>
      </c>
      <c r="G52" s="36" t="n">
        <f aca="false">MAX(D52-E52-F52,0)</f>
        <v>86640.3142581444</v>
      </c>
    </row>
    <row r="53" customFormat="false" ht="16.5" hidden="false" customHeight="true" outlineLevel="0" collapsed="false">
      <c r="B53" s="30" t="n">
        <v>41</v>
      </c>
      <c r="C53" s="31" t="n">
        <f aca="false">EDATE('Inputs &amp; Assumptions'!C8,41)</f>
        <v>46539</v>
      </c>
      <c r="D53" s="32" t="n">
        <f aca="false">G52</f>
        <v>86640.3142581444</v>
      </c>
      <c r="E53" s="32" t="n">
        <f aca="false">IF(41&lt;=C5,C8,0)</f>
        <v>4332.01571290722</v>
      </c>
      <c r="F53" s="33" t="n">
        <v>0</v>
      </c>
      <c r="G53" s="32" t="n">
        <f aca="false">MAX(D53-E53-F53,0)</f>
        <v>82308.2985452372</v>
      </c>
    </row>
    <row r="54" customFormat="false" ht="16.5" hidden="false" customHeight="true" outlineLevel="0" collapsed="false">
      <c r="B54" s="34" t="n">
        <v>42</v>
      </c>
      <c r="C54" s="35" t="n">
        <f aca="false">EDATE('Inputs &amp; Assumptions'!C8,42)</f>
        <v>46569</v>
      </c>
      <c r="D54" s="36" t="n">
        <f aca="false">G53</f>
        <v>82308.2985452372</v>
      </c>
      <c r="E54" s="36" t="n">
        <f aca="false">IF(42&lt;=C5,C8,0)</f>
        <v>4332.01571290722</v>
      </c>
      <c r="F54" s="37" t="n">
        <v>0</v>
      </c>
      <c r="G54" s="36" t="n">
        <f aca="false">MAX(D54-E54-F54,0)</f>
        <v>77976.28283233</v>
      </c>
    </row>
    <row r="55" customFormat="false" ht="16.5" hidden="false" customHeight="true" outlineLevel="0" collapsed="false">
      <c r="B55" s="30" t="n">
        <v>43</v>
      </c>
      <c r="C55" s="31" t="n">
        <f aca="false">EDATE('Inputs &amp; Assumptions'!C8,43)</f>
        <v>46600</v>
      </c>
      <c r="D55" s="32" t="n">
        <f aca="false">G54</f>
        <v>77976.28283233</v>
      </c>
      <c r="E55" s="32" t="n">
        <f aca="false">IF(43&lt;=C5,C8,0)</f>
        <v>4332.01571290722</v>
      </c>
      <c r="F55" s="33" t="n">
        <v>0</v>
      </c>
      <c r="G55" s="32" t="n">
        <f aca="false">MAX(D55-E55-F55,0)</f>
        <v>73644.2671194228</v>
      </c>
    </row>
    <row r="56" customFormat="false" ht="16.5" hidden="false" customHeight="true" outlineLevel="0" collapsed="false">
      <c r="B56" s="34" t="n">
        <v>44</v>
      </c>
      <c r="C56" s="35" t="n">
        <f aca="false">EDATE('Inputs &amp; Assumptions'!C8,44)</f>
        <v>46631</v>
      </c>
      <c r="D56" s="36" t="n">
        <f aca="false">G55</f>
        <v>73644.2671194228</v>
      </c>
      <c r="E56" s="36" t="n">
        <f aca="false">IF(44&lt;=C5,C8,0)</f>
        <v>4332.01571290722</v>
      </c>
      <c r="F56" s="37" t="n">
        <v>0</v>
      </c>
      <c r="G56" s="36" t="n">
        <f aca="false">MAX(D56-E56-F56,0)</f>
        <v>69312.2514065155</v>
      </c>
    </row>
    <row r="57" customFormat="false" ht="16.5" hidden="false" customHeight="true" outlineLevel="0" collapsed="false">
      <c r="B57" s="30" t="n">
        <v>45</v>
      </c>
      <c r="C57" s="31" t="n">
        <f aca="false">EDATE('Inputs &amp; Assumptions'!C8,45)</f>
        <v>46661</v>
      </c>
      <c r="D57" s="32" t="n">
        <f aca="false">G56</f>
        <v>69312.2514065155</v>
      </c>
      <c r="E57" s="32" t="n">
        <f aca="false">IF(45&lt;=C5,C8,0)</f>
        <v>4332.01571290722</v>
      </c>
      <c r="F57" s="33" t="n">
        <v>0</v>
      </c>
      <c r="G57" s="32" t="n">
        <f aca="false">MAX(D57-E57-F57,0)</f>
        <v>64980.2356936083</v>
      </c>
    </row>
    <row r="58" customFormat="false" ht="16.5" hidden="false" customHeight="true" outlineLevel="0" collapsed="false">
      <c r="B58" s="34" t="n">
        <v>46</v>
      </c>
      <c r="C58" s="35" t="n">
        <f aca="false">EDATE('Inputs &amp; Assumptions'!C8,46)</f>
        <v>46692</v>
      </c>
      <c r="D58" s="36" t="n">
        <f aca="false">G57</f>
        <v>64980.2356936083</v>
      </c>
      <c r="E58" s="36" t="n">
        <f aca="false">IF(46&lt;=C5,C8,0)</f>
        <v>4332.01571290722</v>
      </c>
      <c r="F58" s="37" t="n">
        <v>0</v>
      </c>
      <c r="G58" s="36" t="n">
        <f aca="false">MAX(D58-E58-F58,0)</f>
        <v>60648.2199807011</v>
      </c>
    </row>
    <row r="59" customFormat="false" ht="16.5" hidden="false" customHeight="true" outlineLevel="0" collapsed="false">
      <c r="B59" s="30" t="n">
        <v>47</v>
      </c>
      <c r="C59" s="31" t="n">
        <f aca="false">EDATE('Inputs &amp; Assumptions'!C8,47)</f>
        <v>46722</v>
      </c>
      <c r="D59" s="32" t="n">
        <f aca="false">G58</f>
        <v>60648.2199807011</v>
      </c>
      <c r="E59" s="32" t="n">
        <f aca="false">IF(47&lt;=C5,C8,0)</f>
        <v>4332.01571290722</v>
      </c>
      <c r="F59" s="33" t="n">
        <v>0</v>
      </c>
      <c r="G59" s="32" t="n">
        <f aca="false">MAX(D59-E59-F59,0)</f>
        <v>56316.2042677939</v>
      </c>
    </row>
    <row r="60" customFormat="false" ht="16.5" hidden="false" customHeight="true" outlineLevel="0" collapsed="false">
      <c r="B60" s="34" t="n">
        <v>48</v>
      </c>
      <c r="C60" s="35" t="n">
        <f aca="false">EDATE('Inputs &amp; Assumptions'!C8,48)</f>
        <v>46753</v>
      </c>
      <c r="D60" s="36" t="n">
        <f aca="false">G59</f>
        <v>56316.2042677939</v>
      </c>
      <c r="E60" s="36" t="n">
        <f aca="false">IF(48&lt;=C5,C8,0)</f>
        <v>4332.01571290722</v>
      </c>
      <c r="F60" s="37" t="n">
        <v>0</v>
      </c>
      <c r="G60" s="36" t="n">
        <f aca="false">MAX(D60-E60-F60,0)</f>
        <v>51984.1885548867</v>
      </c>
    </row>
    <row r="61" customFormat="false" ht="16.5" hidden="false" customHeight="true" outlineLevel="0" collapsed="false">
      <c r="B61" s="30" t="n">
        <v>49</v>
      </c>
      <c r="C61" s="31" t="n">
        <f aca="false">EDATE('Inputs &amp; Assumptions'!C8,49)</f>
        <v>46784</v>
      </c>
      <c r="D61" s="32" t="n">
        <f aca="false">G60</f>
        <v>51984.1885548867</v>
      </c>
      <c r="E61" s="32" t="n">
        <f aca="false">IF(49&lt;=C5,C8,0)</f>
        <v>4332.01571290722</v>
      </c>
      <c r="F61" s="33" t="n">
        <v>0</v>
      </c>
      <c r="G61" s="32" t="n">
        <f aca="false">MAX(D61-E61-F61,0)</f>
        <v>47652.1728419795</v>
      </c>
    </row>
    <row r="62" customFormat="false" ht="16.5" hidden="false" customHeight="true" outlineLevel="0" collapsed="false">
      <c r="B62" s="34" t="n">
        <v>50</v>
      </c>
      <c r="C62" s="35" t="n">
        <f aca="false">EDATE('Inputs &amp; Assumptions'!C8,50)</f>
        <v>46813</v>
      </c>
      <c r="D62" s="36" t="n">
        <f aca="false">G61</f>
        <v>47652.1728419795</v>
      </c>
      <c r="E62" s="36" t="n">
        <f aca="false">IF(50&lt;=C5,C8,0)</f>
        <v>4332.01571290722</v>
      </c>
      <c r="F62" s="37" t="n">
        <v>0</v>
      </c>
      <c r="G62" s="36" t="n">
        <f aca="false">MAX(D62-E62-F62,0)</f>
        <v>43320.1571290722</v>
      </c>
    </row>
    <row r="63" customFormat="false" ht="16.5" hidden="false" customHeight="true" outlineLevel="0" collapsed="false">
      <c r="B63" s="30" t="n">
        <v>51</v>
      </c>
      <c r="C63" s="31" t="n">
        <f aca="false">EDATE('Inputs &amp; Assumptions'!C8,51)</f>
        <v>46844</v>
      </c>
      <c r="D63" s="32" t="n">
        <f aca="false">G62</f>
        <v>43320.1571290722</v>
      </c>
      <c r="E63" s="32" t="n">
        <f aca="false">IF(51&lt;=C5,C8,0)</f>
        <v>4332.01571290722</v>
      </c>
      <c r="F63" s="33" t="n">
        <v>0</v>
      </c>
      <c r="G63" s="32" t="n">
        <f aca="false">MAX(D63-E63-F63,0)</f>
        <v>38988.141416165</v>
      </c>
    </row>
    <row r="64" customFormat="false" ht="16.5" hidden="false" customHeight="true" outlineLevel="0" collapsed="false">
      <c r="B64" s="34" t="n">
        <v>52</v>
      </c>
      <c r="C64" s="35" t="n">
        <f aca="false">EDATE('Inputs &amp; Assumptions'!C8,52)</f>
        <v>46874</v>
      </c>
      <c r="D64" s="36" t="n">
        <f aca="false">G63</f>
        <v>38988.141416165</v>
      </c>
      <c r="E64" s="36" t="n">
        <f aca="false">IF(52&lt;=C5,C8,0)</f>
        <v>4332.01571290722</v>
      </c>
      <c r="F64" s="37" t="n">
        <v>0</v>
      </c>
      <c r="G64" s="36" t="n">
        <f aca="false">MAX(D64-E64-F64,0)</f>
        <v>34656.1257032578</v>
      </c>
    </row>
    <row r="65" customFormat="false" ht="16.5" hidden="false" customHeight="true" outlineLevel="0" collapsed="false">
      <c r="B65" s="30" t="n">
        <v>53</v>
      </c>
      <c r="C65" s="31" t="n">
        <f aca="false">EDATE('Inputs &amp; Assumptions'!C8,53)</f>
        <v>46905</v>
      </c>
      <c r="D65" s="32" t="n">
        <f aca="false">G64</f>
        <v>34656.1257032578</v>
      </c>
      <c r="E65" s="32" t="n">
        <f aca="false">IF(53&lt;=C5,C8,0)</f>
        <v>4332.01571290722</v>
      </c>
      <c r="F65" s="33" t="n">
        <v>0</v>
      </c>
      <c r="G65" s="32" t="n">
        <f aca="false">MAX(D65-E65-F65,0)</f>
        <v>30324.1099903506</v>
      </c>
    </row>
    <row r="66" customFormat="false" ht="16.5" hidden="false" customHeight="true" outlineLevel="0" collapsed="false">
      <c r="B66" s="34" t="n">
        <v>54</v>
      </c>
      <c r="C66" s="35" t="n">
        <f aca="false">EDATE('Inputs &amp; Assumptions'!C8,54)</f>
        <v>46935</v>
      </c>
      <c r="D66" s="36" t="n">
        <f aca="false">G65</f>
        <v>30324.1099903506</v>
      </c>
      <c r="E66" s="36" t="n">
        <f aca="false">IF(54&lt;=C5,C8,0)</f>
        <v>4332.01571290722</v>
      </c>
      <c r="F66" s="37" t="n">
        <v>0</v>
      </c>
      <c r="G66" s="36" t="n">
        <f aca="false">MAX(D66-E66-F66,0)</f>
        <v>25992.0942774434</v>
      </c>
    </row>
    <row r="67" customFormat="false" ht="16.5" hidden="false" customHeight="true" outlineLevel="0" collapsed="false">
      <c r="B67" s="30" t="n">
        <v>55</v>
      </c>
      <c r="C67" s="31" t="n">
        <f aca="false">EDATE('Inputs &amp; Assumptions'!C8,55)</f>
        <v>46966</v>
      </c>
      <c r="D67" s="32" t="n">
        <f aca="false">G66</f>
        <v>25992.0942774434</v>
      </c>
      <c r="E67" s="32" t="n">
        <f aca="false">IF(55&lt;=C5,C8,0)</f>
        <v>4332.01571290722</v>
      </c>
      <c r="F67" s="33" t="n">
        <v>0</v>
      </c>
      <c r="G67" s="32" t="n">
        <f aca="false">MAX(D67-E67-F67,0)</f>
        <v>21660.0785645361</v>
      </c>
    </row>
    <row r="68" customFormat="false" ht="16.5" hidden="false" customHeight="true" outlineLevel="0" collapsed="false">
      <c r="B68" s="34" t="n">
        <v>56</v>
      </c>
      <c r="C68" s="35" t="n">
        <f aca="false">EDATE('Inputs &amp; Assumptions'!C8,56)</f>
        <v>46997</v>
      </c>
      <c r="D68" s="36" t="n">
        <f aca="false">G67</f>
        <v>21660.0785645361</v>
      </c>
      <c r="E68" s="36" t="n">
        <f aca="false">IF(56&lt;=C5,C8,0)</f>
        <v>4332.01571290722</v>
      </c>
      <c r="F68" s="37" t="n">
        <v>0</v>
      </c>
      <c r="G68" s="36" t="n">
        <f aca="false">MAX(D68-E68-F68,0)</f>
        <v>17328.0628516289</v>
      </c>
    </row>
    <row r="69" customFormat="false" ht="16.5" hidden="false" customHeight="true" outlineLevel="0" collapsed="false">
      <c r="B69" s="30" t="n">
        <v>57</v>
      </c>
      <c r="C69" s="31" t="n">
        <f aca="false">EDATE('Inputs &amp; Assumptions'!C8,57)</f>
        <v>47027</v>
      </c>
      <c r="D69" s="32" t="n">
        <f aca="false">G68</f>
        <v>17328.0628516289</v>
      </c>
      <c r="E69" s="32" t="n">
        <f aca="false">IF(57&lt;=C5,C8,0)</f>
        <v>4332.01571290722</v>
      </c>
      <c r="F69" s="33" t="n">
        <v>0</v>
      </c>
      <c r="G69" s="32" t="n">
        <f aca="false">MAX(D69-E69-F69,0)</f>
        <v>12996.0471387217</v>
      </c>
    </row>
    <row r="70" customFormat="false" ht="16.5" hidden="false" customHeight="true" outlineLevel="0" collapsed="false">
      <c r="B70" s="34" t="n">
        <v>58</v>
      </c>
      <c r="C70" s="35" t="n">
        <f aca="false">EDATE('Inputs &amp; Assumptions'!C8,58)</f>
        <v>47058</v>
      </c>
      <c r="D70" s="36" t="n">
        <f aca="false">G69</f>
        <v>12996.0471387217</v>
      </c>
      <c r="E70" s="36" t="n">
        <f aca="false">IF(58&lt;=C5,C8,0)</f>
        <v>4332.01571290722</v>
      </c>
      <c r="F70" s="37" t="n">
        <v>0</v>
      </c>
      <c r="G70" s="36" t="n">
        <f aca="false">MAX(D70-E70-F70,0)</f>
        <v>8664.03142581449</v>
      </c>
    </row>
    <row r="71" customFormat="false" ht="16.5" hidden="false" customHeight="true" outlineLevel="0" collapsed="false">
      <c r="B71" s="30" t="n">
        <v>59</v>
      </c>
      <c r="C71" s="31" t="n">
        <f aca="false">EDATE('Inputs &amp; Assumptions'!C8,59)</f>
        <v>47088</v>
      </c>
      <c r="D71" s="32" t="n">
        <f aca="false">G70</f>
        <v>8664.03142581449</v>
      </c>
      <c r="E71" s="32" t="n">
        <f aca="false">IF(59&lt;=C5,C8,0)</f>
        <v>4332.01571290722</v>
      </c>
      <c r="F71" s="33" t="n">
        <v>0</v>
      </c>
      <c r="G71" s="32" t="n">
        <f aca="false">MAX(D71-E71-F71,0)</f>
        <v>4332.01571290728</v>
      </c>
    </row>
    <row r="72" customFormat="false" ht="16.5" hidden="false" customHeight="true" outlineLevel="0" collapsed="false">
      <c r="B72" s="34" t="n">
        <v>60</v>
      </c>
      <c r="C72" s="35" t="n">
        <f aca="false">EDATE('Inputs &amp; Assumptions'!C8,60)</f>
        <v>47119</v>
      </c>
      <c r="D72" s="36" t="n">
        <f aca="false">G71</f>
        <v>4332.01571290728</v>
      </c>
      <c r="E72" s="36" t="n">
        <f aca="false">IF(60&lt;=C5,C8,0)</f>
        <v>4332.01571290722</v>
      </c>
      <c r="F72" s="37" t="n">
        <v>0</v>
      </c>
      <c r="G72" s="38" t="n">
        <f aca="false">MAX(D72-E72-F72,0)</f>
        <v>5.63886715099216E-011</v>
      </c>
    </row>
    <row r="73" customFormat="false" ht="19.5" hidden="false" customHeight="true" outlineLevel="0" collapsed="false">
      <c r="B73" s="39" t="s">
        <v>51</v>
      </c>
      <c r="C73" s="40"/>
      <c r="D73" s="40"/>
      <c r="E73" s="41" t="n">
        <f aca="false">SUM(E13:E72)</f>
        <v>259920.942774433</v>
      </c>
      <c r="F73" s="41" t="n">
        <f aca="false">SUM(F13:F72)</f>
        <v>0</v>
      </c>
      <c r="G73" s="40"/>
    </row>
    <row r="74" customFormat="false" ht="16.5" hidden="false" customHeight="true" outlineLevel="0" collapsed="false"/>
    <row r="75" customFormat="false" ht="16.5" hidden="false" customHeight="true" outlineLevel="0" collapsed="false"/>
    <row r="76" customFormat="false" ht="16.5" hidden="false" customHeight="true" outlineLevel="0" collapsed="false"/>
    <row r="77" customFormat="false" ht="16.5" hidden="false" customHeight="true" outlineLevel="0" collapsed="false"/>
    <row r="78" customFormat="false" ht="16.5" hidden="false" customHeight="true" outlineLevel="0" collapsed="false"/>
    <row r="79" customFormat="false" ht="16.5" hidden="false" customHeight="true" outlineLevel="0" collapsed="false"/>
  </sheetData>
  <mergeCells count="3">
    <mergeCell ref="B1:G1"/>
    <mergeCell ref="B2:G2"/>
    <mergeCell ref="B3:G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AD47"/>
    <pageSetUpPr fitToPage="false"/>
  </sheetPr>
  <dimension ref="B1:H2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2"/>
    <col collapsed="false" customWidth="true" hidden="false" outlineLevel="0" max="8" min="3" style="0" width="16"/>
    <col collapsed="false" customWidth="true" hidden="false" outlineLevel="0" max="9" min="9" style="0" width="2"/>
  </cols>
  <sheetData>
    <row r="1" customFormat="false" ht="45" hidden="false" customHeight="true" outlineLevel="0" collapsed="false">
      <c r="B1" s="19" t="s">
        <v>64</v>
      </c>
      <c r="C1" s="19"/>
      <c r="D1" s="19"/>
      <c r="E1" s="19"/>
      <c r="F1" s="19"/>
      <c r="G1" s="19"/>
      <c r="H1" s="19"/>
    </row>
    <row r="2" customFormat="false" ht="12" hidden="false" customHeight="true" outlineLevel="0" collapsed="false">
      <c r="B2" s="20"/>
      <c r="C2" s="20"/>
      <c r="D2" s="20"/>
      <c r="E2" s="20"/>
      <c r="F2" s="20"/>
      <c r="G2" s="20"/>
      <c r="H2" s="20"/>
    </row>
    <row r="3" customFormat="false" ht="18" hidden="false" customHeight="true" outlineLevel="0" collapsed="false"/>
    <row r="4" customFormat="false" ht="24" hidden="false" customHeight="true" outlineLevel="0" collapsed="false">
      <c r="B4" s="39" t="s">
        <v>65</v>
      </c>
      <c r="C4" s="39" t="s">
        <v>66</v>
      </c>
      <c r="D4" s="39" t="s">
        <v>67</v>
      </c>
      <c r="E4" s="39" t="s">
        <v>68</v>
      </c>
      <c r="F4" s="39" t="s">
        <v>69</v>
      </c>
      <c r="G4" s="39" t="s">
        <v>70</v>
      </c>
      <c r="H4" s="39" t="s">
        <v>71</v>
      </c>
    </row>
    <row r="5" customFormat="false" ht="19.5" hidden="false" customHeight="true" outlineLevel="0" collapsed="false">
      <c r="B5" s="3" t="s">
        <v>72</v>
      </c>
      <c r="C5" s="3"/>
      <c r="D5" s="3"/>
      <c r="E5" s="3"/>
      <c r="F5" s="3"/>
      <c r="G5" s="3"/>
      <c r="H5" s="3"/>
    </row>
    <row r="6" customFormat="false" ht="16.5" hidden="false" customHeight="true" outlineLevel="0" collapsed="false">
      <c r="B6" s="43" t="s">
        <v>73</v>
      </c>
      <c r="C6" s="44" t="n">
        <f aca="false">SUM('ROU Asset Depreciation'!E13:E24)</f>
        <v>51984.1885548866</v>
      </c>
      <c r="D6" s="44" t="n">
        <f aca="false">SUM('ROU Asset Depreciation'!E25:E36)</f>
        <v>51984.1885548866</v>
      </c>
      <c r="E6" s="44" t="n">
        <f aca="false">SUM('ROU Asset Depreciation'!E37:E48)</f>
        <v>51984.1885548866</v>
      </c>
      <c r="F6" s="44" t="n">
        <f aca="false">SUM('ROU Asset Depreciation'!E49:E60)</f>
        <v>51984.1885548866</v>
      </c>
      <c r="G6" s="44" t="n">
        <f aca="false">SUM('ROU Asset Depreciation'!E61:E72)</f>
        <v>51984.1885548866</v>
      </c>
      <c r="H6" s="45" t="n">
        <f aca="false">SUM(C6:G6)</f>
        <v>259920.942774433</v>
      </c>
    </row>
    <row r="7" customFormat="false" ht="16.5" hidden="false" customHeight="true" outlineLevel="0" collapsed="false">
      <c r="B7" s="43" t="s">
        <v>74</v>
      </c>
      <c r="C7" s="44" t="n">
        <f aca="false">SUM('Amortisation Schedule'!F14:F25)</f>
        <v>14045.1540842628</v>
      </c>
      <c r="D7" s="44" t="n">
        <f aca="false">SUM('Amortisation Schedule'!F26:F37)</f>
        <v>11210.7597436099</v>
      </c>
      <c r="E7" s="44" t="n">
        <f aca="false">SUM('Amortisation Schedule'!F38:F49)</f>
        <v>8201.54616206437</v>
      </c>
      <c r="F7" s="44" t="n">
        <f aca="false">SUM('Amortisation Schedule'!F50:F61)</f>
        <v>5006.73087137621</v>
      </c>
      <c r="G7" s="44" t="n">
        <f aca="false">SUM('Amortisation Schedule'!F62:F73)</f>
        <v>1614.86636424719</v>
      </c>
      <c r="H7" s="45" t="n">
        <f aca="false">SUM(C7:G7)</f>
        <v>40079.0572255604</v>
      </c>
    </row>
    <row r="8" customFormat="false" ht="19.5" hidden="false" customHeight="true" outlineLevel="0" collapsed="false">
      <c r="B8" s="46" t="s">
        <v>75</v>
      </c>
      <c r="C8" s="12" t="n">
        <f aca="false">C6+C7</f>
        <v>66029.3426391494</v>
      </c>
      <c r="D8" s="12" t="n">
        <f aca="false">D6+D7</f>
        <v>63194.9482984965</v>
      </c>
      <c r="E8" s="12" t="n">
        <f aca="false">E6+E7</f>
        <v>60185.734716951</v>
      </c>
      <c r="F8" s="12" t="n">
        <f aca="false">F6+F7</f>
        <v>56990.9194262628</v>
      </c>
      <c r="G8" s="12" t="n">
        <f aca="false">G6+G7</f>
        <v>53599.0549191338</v>
      </c>
      <c r="H8" s="12" t="n">
        <f aca="false">H6+H7</f>
        <v>299999.999999994</v>
      </c>
    </row>
    <row r="9" customFormat="false" ht="16.5" hidden="false" customHeight="true" outlineLevel="0" collapsed="false">
      <c r="B9" s="47" t="s">
        <v>76</v>
      </c>
      <c r="C9" s="48" t="n">
        <f aca="false">'Inputs &amp; Assumptions'!C11*12</f>
        <v>60000</v>
      </c>
      <c r="D9" s="48" t="n">
        <f aca="false">'Inputs &amp; Assumptions'!C11*12</f>
        <v>60000</v>
      </c>
      <c r="E9" s="48" t="n">
        <f aca="false">'Inputs &amp; Assumptions'!C11*12</f>
        <v>60000</v>
      </c>
      <c r="F9" s="48" t="n">
        <f aca="false">'Inputs &amp; Assumptions'!C11*12</f>
        <v>60000</v>
      </c>
      <c r="G9" s="48" t="n">
        <f aca="false">'Inputs &amp; Assumptions'!C11*12</f>
        <v>60000</v>
      </c>
      <c r="H9" s="49" t="n">
        <f aca="false">SUM(C9:G9)</f>
        <v>300000</v>
      </c>
    </row>
    <row r="10" customFormat="false" ht="18" hidden="false" customHeight="true" outlineLevel="0" collapsed="false">
      <c r="B10" s="7"/>
      <c r="C10" s="7"/>
      <c r="D10" s="7"/>
      <c r="E10" s="7"/>
      <c r="F10" s="7"/>
      <c r="G10" s="7"/>
      <c r="H10" s="7"/>
    </row>
    <row r="11" customFormat="false" ht="19.5" hidden="false" customHeight="true" outlineLevel="0" collapsed="false">
      <c r="B11" s="50" t="s">
        <v>77</v>
      </c>
      <c r="C11" s="50"/>
      <c r="D11" s="50"/>
      <c r="E11" s="50"/>
      <c r="F11" s="50"/>
      <c r="G11" s="50"/>
      <c r="H11" s="50"/>
    </row>
    <row r="12" customFormat="false" ht="18" hidden="false" customHeight="true" outlineLevel="0" collapsed="false">
      <c r="B12" s="43" t="s">
        <v>78</v>
      </c>
      <c r="C12" s="44" t="n">
        <f aca="false">'ROU Asset Depreciation'!G24</f>
        <v>207936.754219547</v>
      </c>
      <c r="D12" s="44" t="n">
        <f aca="false">'ROU Asset Depreciation'!G36</f>
        <v>155952.56566466</v>
      </c>
      <c r="E12" s="44" t="n">
        <f aca="false">'ROU Asset Depreciation'!G48</f>
        <v>103968.377109773</v>
      </c>
      <c r="F12" s="44" t="n">
        <f aca="false">'ROU Asset Depreciation'!G60</f>
        <v>51984.1885548867</v>
      </c>
      <c r="G12" s="44" t="n">
        <f aca="false">'ROU Asset Depreciation'!G72</f>
        <v>5.63886715099216E-011</v>
      </c>
      <c r="H12" s="7"/>
    </row>
    <row r="13" customFormat="false" ht="18" hidden="false" customHeight="true" outlineLevel="0" collapsed="false">
      <c r="B13" s="43" t="s">
        <v>79</v>
      </c>
      <c r="C13" s="44" t="n">
        <f aca="false">'Amortisation Schedule'!H25</f>
        <v>213966.096858696</v>
      </c>
      <c r="D13" s="44" t="n">
        <f aca="false">'Amortisation Schedule'!H37</f>
        <v>165176.856602306</v>
      </c>
      <c r="E13" s="44" t="n">
        <f aca="false">'Amortisation Schedule'!H49</f>
        <v>113378.40276437</v>
      </c>
      <c r="F13" s="44" t="n">
        <f aca="false">'Amortisation Schedule'!H61</f>
        <v>58385.1336357462</v>
      </c>
      <c r="G13" s="44" t="n">
        <f aca="false">'Amortisation Schedule'!H73</f>
        <v>0</v>
      </c>
      <c r="H13" s="7"/>
    </row>
    <row r="14" customFormat="false" ht="18" hidden="false" customHeight="true" outlineLevel="0" collapsed="false">
      <c r="B14" s="51" t="s">
        <v>80</v>
      </c>
      <c r="C14" s="44" t="n">
        <f aca="false">SUM('Amortisation Schedule'!G26:G37)</f>
        <v>48789.2402563901</v>
      </c>
      <c r="D14" s="44" t="n">
        <f aca="false">SUM('Amortisation Schedule'!G38:G49)</f>
        <v>51798.4538379356</v>
      </c>
      <c r="E14" s="44" t="n">
        <f aca="false">SUM('Amortisation Schedule'!G50:G61)</f>
        <v>54993.2691286238</v>
      </c>
      <c r="F14" s="44" t="n">
        <f aca="false">SUM('Amortisation Schedule'!G62:G73)</f>
        <v>58385.1336357528</v>
      </c>
      <c r="G14" s="44" t="n">
        <f aca="false">SUM('Amortisation Schedule'!G74:G73)</f>
        <v>45079.0572255604</v>
      </c>
      <c r="H14" s="7"/>
    </row>
    <row r="15" customFormat="false" ht="18" hidden="false" customHeight="true" outlineLevel="0" collapsed="false">
      <c r="B15" s="51" t="s">
        <v>81</v>
      </c>
      <c r="C15" s="44" t="n">
        <f aca="false">C13-C14</f>
        <v>165176.856602306</v>
      </c>
      <c r="D15" s="44" t="n">
        <f aca="false">D13-D14</f>
        <v>113378.40276437</v>
      </c>
      <c r="E15" s="44" t="n">
        <f aca="false">E13-E14</f>
        <v>58385.1336357463</v>
      </c>
      <c r="F15" s="44" t="n">
        <f aca="false">F13-F14</f>
        <v>-6.57018972560763E-009</v>
      </c>
      <c r="G15" s="44" t="n">
        <f aca="false">G13-G14</f>
        <v>-45079.0572255604</v>
      </c>
      <c r="H15" s="7"/>
    </row>
    <row r="16" customFormat="false" ht="18" hidden="false" customHeight="true" outlineLevel="0" collapsed="false"/>
    <row r="17" customFormat="false" ht="18" hidden="false" customHeight="true" outlineLevel="0" collapsed="false"/>
    <row r="18" customFormat="false" ht="18" hidden="false" customHeight="true" outlineLevel="0" collapsed="false"/>
    <row r="19" customFormat="false" ht="18" hidden="false" customHeight="true" outlineLevel="0" collapsed="false"/>
    <row r="20" customFormat="false" ht="18" hidden="false" customHeight="true" outlineLevel="0" collapsed="false"/>
    <row r="21" customFormat="false" ht="18" hidden="false" customHeight="true" outlineLevel="0" collapsed="false"/>
    <row r="22" customFormat="false" ht="18" hidden="false" customHeight="true" outlineLevel="0" collapsed="false"/>
    <row r="23" customFormat="false" ht="18" hidden="false" customHeight="true" outlineLevel="0" collapsed="false"/>
    <row r="24" customFormat="false" ht="18" hidden="false" customHeight="true" outlineLevel="0" collapsed="false"/>
    <row r="25" customFormat="false" ht="18" hidden="false" customHeight="true" outlineLevel="0" collapsed="false"/>
    <row r="26" customFormat="false" ht="18" hidden="false" customHeight="true" outlineLevel="0" collapsed="false"/>
    <row r="27" customFormat="false" ht="18" hidden="false" customHeight="true" outlineLevel="0" collapsed="false"/>
    <row r="28" customFormat="false" ht="18" hidden="false" customHeight="true" outlineLevel="0" collapsed="false"/>
    <row r="29" customFormat="false" ht="18" hidden="false" customHeight="true" outlineLevel="0" collapsed="false"/>
  </sheetData>
  <mergeCells count="4">
    <mergeCell ref="B1:H1"/>
    <mergeCell ref="B2:H2"/>
    <mergeCell ref="B5:H5"/>
    <mergeCell ref="B11:H1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D7D31"/>
    <pageSetUpPr fitToPage="false"/>
  </sheetPr>
  <dimension ref="B1:E3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8"/>
    <col collapsed="false" customWidth="true" hidden="false" outlineLevel="0" max="3" min="3" style="0" width="38"/>
    <col collapsed="false" customWidth="true" hidden="false" outlineLevel="0" max="5" min="4" style="0" width="20"/>
    <col collapsed="false" customWidth="true" hidden="false" outlineLevel="0" max="6" min="6" style="0" width="2"/>
  </cols>
  <sheetData>
    <row r="1" customFormat="false" ht="45" hidden="false" customHeight="true" outlineLevel="0" collapsed="false">
      <c r="B1" s="19" t="s">
        <v>82</v>
      </c>
      <c r="C1" s="19"/>
      <c r="D1" s="19"/>
      <c r="E1" s="19"/>
    </row>
    <row r="2" customFormat="false" ht="12" hidden="false" customHeight="true" outlineLevel="0" collapsed="false">
      <c r="B2" s="20"/>
      <c r="C2" s="20"/>
      <c r="D2" s="20"/>
      <c r="E2" s="20"/>
    </row>
    <row r="3" customFormat="false" ht="16.5" hidden="false" customHeight="true" outlineLevel="0" collapsed="false"/>
    <row r="4" customFormat="false" ht="16.5" hidden="false" customHeight="true" outlineLevel="0" collapsed="false">
      <c r="B4" s="39" t="s">
        <v>83</v>
      </c>
      <c r="C4" s="39" t="s">
        <v>84</v>
      </c>
      <c r="D4" s="39" t="s">
        <v>85</v>
      </c>
      <c r="E4" s="39" t="s">
        <v>86</v>
      </c>
    </row>
    <row r="5" customFormat="false" ht="16.5" hidden="false" customHeight="true" outlineLevel="0" collapsed="false">
      <c r="B5" s="52" t="s">
        <v>87</v>
      </c>
      <c r="C5" s="53" t="s">
        <v>88</v>
      </c>
      <c r="D5" s="28"/>
      <c r="E5" s="28"/>
    </row>
    <row r="6" customFormat="false" ht="16.5" hidden="false" customHeight="true" outlineLevel="0" collapsed="false">
      <c r="B6" s="54"/>
      <c r="C6" s="55" t="s">
        <v>89</v>
      </c>
      <c r="D6" s="32" t="n">
        <f aca="false">'Inputs &amp; Assumptions'!G9</f>
        <v>259920.942774433</v>
      </c>
      <c r="E6" s="56"/>
    </row>
    <row r="7" customFormat="false" ht="16.5" hidden="false" customHeight="true" outlineLevel="0" collapsed="false">
      <c r="B7" s="54"/>
      <c r="C7" s="55" t="s">
        <v>90</v>
      </c>
      <c r="D7" s="56"/>
      <c r="E7" s="32" t="n">
        <f aca="false">'Inputs &amp; Assumptions'!G11</f>
        <v>259920.942774433</v>
      </c>
    </row>
    <row r="8" customFormat="false" ht="16.5" hidden="false" customHeight="true" outlineLevel="0" collapsed="false">
      <c r="B8" s="54"/>
      <c r="C8" s="57" t="s">
        <v>91</v>
      </c>
      <c r="D8" s="56"/>
      <c r="E8" s="56"/>
    </row>
    <row r="9" customFormat="false" ht="16.5" hidden="false" customHeight="true" outlineLevel="0" collapsed="false">
      <c r="B9" s="58"/>
      <c r="C9" s="59"/>
      <c r="D9" s="60"/>
      <c r="E9" s="60"/>
    </row>
    <row r="10" customFormat="false" ht="16.5" hidden="false" customHeight="true" outlineLevel="0" collapsed="false">
      <c r="B10" s="52" t="s">
        <v>92</v>
      </c>
      <c r="C10" s="53" t="s">
        <v>93</v>
      </c>
      <c r="D10" s="28"/>
      <c r="E10" s="28"/>
    </row>
    <row r="11" customFormat="false" ht="16.5" hidden="false" customHeight="true" outlineLevel="0" collapsed="false">
      <c r="B11" s="54"/>
      <c r="C11" s="55" t="s">
        <v>94</v>
      </c>
      <c r="D11" s="32" t="n">
        <f aca="false">'Inputs &amp; Assumptions'!C11</f>
        <v>5000</v>
      </c>
      <c r="E11" s="56"/>
    </row>
    <row r="12" customFormat="false" ht="16.5" hidden="false" customHeight="true" outlineLevel="0" collapsed="false">
      <c r="B12" s="54"/>
      <c r="C12" s="55" t="s">
        <v>95</v>
      </c>
      <c r="D12" s="56"/>
      <c r="E12" s="32" t="n">
        <f aca="false">'Inputs &amp; Assumptions'!C11</f>
        <v>5000</v>
      </c>
    </row>
    <row r="13" customFormat="false" ht="16.5" hidden="false" customHeight="true" outlineLevel="0" collapsed="false">
      <c r="B13" s="54"/>
      <c r="C13" s="57" t="s">
        <v>96</v>
      </c>
      <c r="D13" s="56"/>
      <c r="E13" s="56"/>
    </row>
    <row r="14" customFormat="false" ht="16.5" hidden="false" customHeight="true" outlineLevel="0" collapsed="false">
      <c r="B14" s="58"/>
      <c r="C14" s="59"/>
      <c r="D14" s="60"/>
      <c r="E14" s="60"/>
    </row>
    <row r="15" customFormat="false" ht="16.5" hidden="false" customHeight="true" outlineLevel="0" collapsed="false">
      <c r="B15" s="52" t="s">
        <v>97</v>
      </c>
      <c r="C15" s="53" t="s">
        <v>98</v>
      </c>
      <c r="D15" s="28"/>
      <c r="E15" s="28"/>
    </row>
    <row r="16" customFormat="false" ht="16.5" hidden="false" customHeight="true" outlineLevel="0" collapsed="false">
      <c r="B16" s="54"/>
      <c r="C16" s="55" t="s">
        <v>99</v>
      </c>
      <c r="D16" s="32" t="n">
        <f aca="false">'Amortisation Schedule'!F14</f>
        <v>1274.60471387217</v>
      </c>
      <c r="E16" s="56"/>
    </row>
    <row r="17" customFormat="false" ht="16.5" hidden="false" customHeight="true" outlineLevel="0" collapsed="false">
      <c r="B17" s="54"/>
      <c r="C17" s="55" t="s">
        <v>90</v>
      </c>
      <c r="D17" s="56"/>
      <c r="E17" s="32" t="n">
        <f aca="false">'Amortisation Schedule'!F14</f>
        <v>1274.60471387217</v>
      </c>
    </row>
    <row r="18" customFormat="false" ht="16.5" hidden="false" customHeight="true" outlineLevel="0" collapsed="false">
      <c r="B18" s="54"/>
      <c r="C18" s="57" t="s">
        <v>100</v>
      </c>
      <c r="D18" s="56"/>
      <c r="E18" s="56"/>
    </row>
    <row r="19" customFormat="false" ht="16.5" hidden="false" customHeight="true" outlineLevel="0" collapsed="false">
      <c r="B19" s="58"/>
      <c r="C19" s="59"/>
      <c r="D19" s="60"/>
      <c r="E19" s="60"/>
    </row>
    <row r="20" customFormat="false" ht="16.5" hidden="false" customHeight="true" outlineLevel="0" collapsed="false">
      <c r="B20" s="52" t="s">
        <v>101</v>
      </c>
      <c r="C20" s="53" t="s">
        <v>102</v>
      </c>
      <c r="D20" s="28"/>
      <c r="E20" s="28"/>
    </row>
    <row r="21" customFormat="false" ht="16.5" hidden="false" customHeight="true" outlineLevel="0" collapsed="false">
      <c r="B21" s="54"/>
      <c r="C21" s="55" t="s">
        <v>103</v>
      </c>
      <c r="D21" s="32" t="n">
        <f aca="false">'ROU Asset Depreciation'!E13</f>
        <v>4332.01571290722</v>
      </c>
      <c r="E21" s="56"/>
    </row>
    <row r="22" customFormat="false" ht="16.5" hidden="false" customHeight="true" outlineLevel="0" collapsed="false">
      <c r="B22" s="54"/>
      <c r="C22" s="55" t="s">
        <v>104</v>
      </c>
      <c r="D22" s="56"/>
      <c r="E22" s="32" t="n">
        <f aca="false">'ROU Asset Depreciation'!E13</f>
        <v>4332.01571290722</v>
      </c>
    </row>
    <row r="23" customFormat="false" ht="16.5" hidden="false" customHeight="true" outlineLevel="0" collapsed="false">
      <c r="B23" s="54"/>
      <c r="C23" s="57" t="s">
        <v>105</v>
      </c>
      <c r="D23" s="56"/>
      <c r="E23" s="56"/>
    </row>
    <row r="24" customFormat="false" ht="16.5" hidden="false" customHeight="true" outlineLevel="0" collapsed="false"/>
    <row r="25" customFormat="false" ht="16.5" hidden="false" customHeight="true" outlineLevel="0" collapsed="false"/>
    <row r="26" customFormat="false" ht="16.5" hidden="false" customHeight="true" outlineLevel="0" collapsed="false"/>
    <row r="27" customFormat="false" ht="16.5" hidden="false" customHeight="true" outlineLevel="0" collapsed="false"/>
    <row r="28" customFormat="false" ht="16.5" hidden="false" customHeight="true" outlineLevel="0" collapsed="false"/>
    <row r="29" customFormat="false" ht="16.5" hidden="false" customHeight="true" outlineLevel="0" collapsed="false"/>
    <row r="30" customFormat="false" ht="16.5" hidden="false" customHeight="true" outlineLevel="0" collapsed="false"/>
    <row r="31" customFormat="false" ht="16.5" hidden="false" customHeight="true" outlineLevel="0" collapsed="false"/>
    <row r="32" customFormat="false" ht="16.5" hidden="false" customHeight="true" outlineLevel="0" collapsed="false"/>
    <row r="33" customFormat="false" ht="16.5" hidden="false" customHeight="true" outlineLevel="0" collapsed="false"/>
    <row r="34" customFormat="false" ht="16.5" hidden="false" customHeight="true" outlineLevel="0" collapsed="false"/>
  </sheetData>
  <mergeCells count="2">
    <mergeCell ref="B1:E1"/>
    <mergeCell ref="B2:E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808080"/>
    <pageSetUpPr fitToPage="false"/>
  </sheetPr>
  <dimension ref="B1:B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72"/>
    <col collapsed="false" customWidth="true" hidden="false" outlineLevel="0" max="3" min="3" style="0" width="2"/>
  </cols>
  <sheetData>
    <row r="1" customFormat="false" ht="49.5" hidden="false" customHeight="true" outlineLevel="0" collapsed="false">
      <c r="B1" s="61" t="s">
        <v>106</v>
      </c>
    </row>
    <row r="2" customFormat="false" ht="7.5" hidden="false" customHeight="true" outlineLevel="0" collapsed="false">
      <c r="B2" s="62"/>
    </row>
    <row r="3" customFormat="false" ht="19.5" hidden="false" customHeight="true" outlineLevel="0" collapsed="false">
      <c r="B3" s="63" t="s">
        <v>107</v>
      </c>
    </row>
    <row r="4" customFormat="false" ht="19.5" hidden="false" customHeight="true" outlineLevel="0" collapsed="false">
      <c r="B4" s="62" t="s">
        <v>108</v>
      </c>
    </row>
    <row r="5" customFormat="false" ht="7.5" hidden="false" customHeight="true" outlineLevel="0" collapsed="false">
      <c r="B5" s="62"/>
    </row>
    <row r="6" customFormat="false" ht="19.5" hidden="false" customHeight="true" outlineLevel="0" collapsed="false">
      <c r="B6" s="63" t="s">
        <v>109</v>
      </c>
    </row>
    <row r="7" customFormat="false" ht="19.5" hidden="false" customHeight="true" outlineLevel="0" collapsed="false">
      <c r="B7" s="62" t="s">
        <v>110</v>
      </c>
    </row>
    <row r="8" customFormat="false" ht="7.5" hidden="false" customHeight="true" outlineLevel="0" collapsed="false">
      <c r="B8" s="62"/>
    </row>
    <row r="9" customFormat="false" ht="19.5" hidden="false" customHeight="true" outlineLevel="0" collapsed="false">
      <c r="B9" s="63" t="s">
        <v>111</v>
      </c>
    </row>
    <row r="10" customFormat="false" ht="19.5" hidden="false" customHeight="true" outlineLevel="0" collapsed="false">
      <c r="B10" s="62" t="s">
        <v>112</v>
      </c>
    </row>
    <row r="11" customFormat="false" ht="7.5" hidden="false" customHeight="true" outlineLevel="0" collapsed="false">
      <c r="B11" s="62"/>
    </row>
    <row r="12" customFormat="false" ht="19.5" hidden="false" customHeight="true" outlineLevel="0" collapsed="false">
      <c r="B12" s="63" t="s">
        <v>113</v>
      </c>
    </row>
    <row r="13" customFormat="false" ht="19.5" hidden="false" customHeight="true" outlineLevel="0" collapsed="false">
      <c r="B13" s="62" t="s">
        <v>114</v>
      </c>
    </row>
    <row r="14" customFormat="false" ht="7.5" hidden="false" customHeight="true" outlineLevel="0" collapsed="false">
      <c r="B14" s="62"/>
    </row>
    <row r="15" customFormat="false" ht="19.5" hidden="false" customHeight="true" outlineLevel="0" collapsed="false">
      <c r="B15" s="63" t="s">
        <v>115</v>
      </c>
    </row>
    <row r="16" customFormat="false" ht="19.5" hidden="false" customHeight="true" outlineLevel="0" collapsed="false">
      <c r="B16" s="62" t="s">
        <v>116</v>
      </c>
    </row>
    <row r="17" customFormat="false" ht="7.5" hidden="false" customHeight="true" outlineLevel="0" collapsed="false">
      <c r="B17" s="62"/>
    </row>
    <row r="18" customFormat="false" ht="19.5" hidden="false" customHeight="true" outlineLevel="0" collapsed="false">
      <c r="B18" s="63" t="s">
        <v>117</v>
      </c>
    </row>
    <row r="19" customFormat="false" ht="19.5" hidden="false" customHeight="true" outlineLevel="0" collapsed="false">
      <c r="B19" s="62" t="s">
        <v>118</v>
      </c>
    </row>
    <row r="20" customFormat="false" ht="7.5" hidden="false" customHeight="true" outlineLevel="0" collapsed="false">
      <c r="B20" s="62"/>
    </row>
    <row r="21" customFormat="false" ht="19.5" hidden="false" customHeight="true" outlineLevel="0" collapsed="false">
      <c r="B21" s="64" t="s">
        <v>119</v>
      </c>
    </row>
    <row r="22" customFormat="false" ht="19.5" hidden="false" customHeight="true" outlineLevel="0" collapsed="false">
      <c r="B22" s="62" t="s">
        <v>120</v>
      </c>
    </row>
    <row r="23" customFormat="false" ht="19.5" hidden="false" customHeight="true" outlineLevel="0" collapsed="false">
      <c r="B23" s="62" t="s">
        <v>121</v>
      </c>
    </row>
    <row r="24" customFormat="false" ht="19.5" hidden="false" customHeight="true" outlineLevel="0" collapsed="false">
      <c r="B24" s="62" t="s">
        <v>122</v>
      </c>
    </row>
    <row r="25" customFormat="false" ht="19.5" hidden="false" customHeight="true" outlineLevel="0" collapsed="false">
      <c r="B25" s="62" t="s">
        <v>123</v>
      </c>
    </row>
    <row r="26" customFormat="false" ht="7.5" hidden="false" customHeight="true" outlineLevel="0" collapsed="false">
      <c r="B26" s="62"/>
    </row>
    <row r="27" customFormat="false" ht="19.5" hidden="false" customHeight="true" outlineLevel="0" collapsed="false">
      <c r="B27" s="65" t="s">
        <v>124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2026-04-18T07:06:22Z</dcterms:created>
  <dc:creator>openpyxl</dc:creator>
  <dc:description/>
  <dc:language>en-US</dc:language>
  <cp:lastModifiedBy/>
  <dcterms:modified xsi:type="dcterms:W3CDTF">2026-04-18T07:06:23Z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